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O TAV\"/>
    </mc:Choice>
  </mc:AlternateContent>
  <xr:revisionPtr revIDLastSave="0" documentId="13_ncr:1_{8F267FF0-8804-4534-B862-70C4BCF0270D}" xr6:coauthVersionLast="47" xr6:coauthVersionMax="47" xr10:uidLastSave="{00000000-0000-0000-0000-000000000000}"/>
  <bookViews>
    <workbookView xWindow="-110" yWindow="-110" windowWidth="19420" windowHeight="10420" activeTab="3" xr2:uid="{A2C19929-7537-41A6-B4F3-3C513D880217}"/>
  </bookViews>
  <sheets>
    <sheet name="ANALISI" sheetId="5" r:id="rId1"/>
    <sheet name="Domanda 2023 Grant A." sheetId="4" r:id="rId2"/>
    <sheet name="Sovvenzioni UE" sheetId="2" r:id="rId3"/>
    <sheet name="Immobilizzazioni" sheetId="6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F26" i="5"/>
  <c r="F28" i="5"/>
  <c r="M42" i="5"/>
  <c r="M39" i="5"/>
  <c r="H34" i="5"/>
  <c r="H1" i="6"/>
  <c r="G13" i="5"/>
  <c r="J26" i="6"/>
  <c r="I26" i="6"/>
  <c r="J21" i="6" s="1"/>
  <c r="D23" i="6"/>
  <c r="D24" i="6"/>
  <c r="D25" i="6"/>
  <c r="D26" i="6"/>
  <c r="D22" i="6"/>
  <c r="D21" i="6"/>
  <c r="D20" i="6"/>
  <c r="D18" i="6"/>
  <c r="D16" i="6"/>
  <c r="D17" i="6"/>
  <c r="D13" i="6"/>
  <c r="D14" i="6"/>
  <c r="D12" i="6"/>
  <c r="D11" i="6"/>
  <c r="F12" i="6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G22" i="5"/>
  <c r="F22" i="5"/>
  <c r="H21" i="5"/>
  <c r="E7" i="5" s="1"/>
  <c r="K7" i="5" s="1"/>
  <c r="I11" i="5"/>
  <c r="H11" i="5" s="1"/>
  <c r="E10" i="5"/>
  <c r="G8" i="5"/>
  <c r="H8" i="5" s="1"/>
  <c r="H20" i="5"/>
  <c r="J20" i="5" s="1"/>
  <c r="H19" i="5"/>
  <c r="J19" i="5" s="1"/>
  <c r="E9" i="5"/>
  <c r="G9" i="5" s="1"/>
  <c r="H7" i="5"/>
  <c r="H6" i="5"/>
  <c r="F10" i="4"/>
  <c r="F8" i="4"/>
  <c r="F6" i="4"/>
  <c r="F7" i="4"/>
  <c r="F9" i="4"/>
  <c r="F11" i="4"/>
  <c r="F12" i="4"/>
  <c r="F13" i="4"/>
  <c r="F14" i="4"/>
  <c r="F15" i="4"/>
  <c r="F16" i="4"/>
  <c r="F5" i="4"/>
  <c r="E17" i="4"/>
  <c r="D17" i="4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M37" i="2"/>
  <c r="N37" i="2" s="1"/>
  <c r="M39" i="2"/>
  <c r="L41" i="2"/>
  <c r="F26" i="2"/>
  <c r="F25" i="2"/>
  <c r="D5" i="2"/>
  <c r="F5" i="2"/>
  <c r="D27" i="6" l="1"/>
  <c r="F28" i="2"/>
  <c r="F30" i="2" s="1"/>
  <c r="M41" i="2"/>
  <c r="K38" i="2"/>
  <c r="N39" i="2"/>
  <c r="N41" i="2" s="1"/>
  <c r="K37" i="2"/>
  <c r="F30" i="5"/>
  <c r="J23" i="6"/>
  <c r="J24" i="6"/>
  <c r="J20" i="6"/>
  <c r="J22" i="6"/>
  <c r="J25" i="6"/>
  <c r="I20" i="5"/>
  <c r="I21" i="5"/>
  <c r="I19" i="5"/>
  <c r="J21" i="5"/>
  <c r="K8" i="5"/>
  <c r="H22" i="5"/>
  <c r="H24" i="5" s="1"/>
  <c r="J7" i="5"/>
  <c r="J8" i="5"/>
  <c r="E5" i="5"/>
  <c r="E6" i="5"/>
  <c r="F17" i="4"/>
  <c r="D6" i="2"/>
  <c r="K41" i="2" l="1"/>
  <c r="E11" i="5"/>
  <c r="K6" i="5"/>
  <c r="J6" i="5"/>
  <c r="K5" i="5"/>
  <c r="G5" i="5"/>
  <c r="H9" i="5"/>
  <c r="H5" i="5" l="1"/>
  <c r="G14" i="5"/>
  <c r="G15" i="5" s="1"/>
  <c r="J5" i="5"/>
  <c r="K11" i="5" l="1"/>
  <c r="J11" i="5"/>
  <c r="K10" i="5" l="1"/>
  <c r="J10" i="5" l="1"/>
  <c r="H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Pablo Maqroll</author>
  </authors>
  <commentList>
    <comment ref="D4" authorId="0" shapeId="0" xr:uid="{257ADE09-E9CC-4ABF-960C-BDFF433FCE25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QFP - Quadro Finanziario Pluriennale</t>
        </r>
      </text>
    </comment>
    <comment ref="E5" authorId="0" shapeId="0" xr:uid="{9BE7BB05-4CC5-4DC6-A943-311BFFE120DA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Importo ex Bilancio TELT 2023 pag. 26</t>
        </r>
      </text>
    </comment>
    <comment ref="F5" authorId="0" shapeId="0" xr:uid="{D204E351-A064-4484-8D19-BCA433738E22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da trovare nei bilanci</t>
        </r>
      </text>
    </comment>
    <comment ref="G5" authorId="0" shapeId="0" xr:uid="{C1F65378-812B-4E88-A660-20FD00F8BF75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STIMA al 50%, da trovare nei bilanci LTF, che purtoppo non abbiamo</t>
        </r>
      </text>
    </comment>
    <comment ref="E6" authorId="0" shapeId="0" xr:uid="{5F7F104E-7E45-4481-8817-F5F214337837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importo ex Bilancio TELT 2023 pag. 26</t>
        </r>
      </text>
    </comment>
    <comment ref="G6" authorId="0" shapeId="0" xr:uid="{1E0C58A8-896A-485C-8198-B6D29F8DE2BD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u/>
            <sz val="9"/>
            <color indexed="81"/>
            <rFont val="Tahoma"/>
            <family val="2"/>
          </rPr>
          <t>tima</t>
        </r>
      </text>
    </comment>
    <comment ref="E7" authorId="0" shapeId="0" xr:uid="{195FDAA0-E7D9-4295-AA20-F75C279EAAD1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ex Bilancio TELT 2024, pag. 27</t>
        </r>
      </text>
    </comment>
    <comment ref="B8" authorId="0" shapeId="0" xr:uid="{BBBD22EC-A077-4F52-A9D4-DC4A259BAC07}">
      <text>
        <r>
          <rPr>
            <sz val="9"/>
            <color indexed="81"/>
            <rFont val="Tahoma"/>
            <family val="2"/>
          </rPr>
          <t>https://www.presidioeuropa.net/blog/comunicato-stampa-la-fine-del-tav/</t>
        </r>
      </text>
    </comment>
    <comment ref="E8" authorId="0" shapeId="0" xr:uid="{017AEDB2-B53A-456F-93A9-5586AEBBDCAA}">
      <text>
        <r>
          <rPr>
            <sz val="9"/>
            <color indexed="81"/>
            <rFont val="Tahoma"/>
            <family val="2"/>
          </rPr>
          <t>Importo indicato a pag. 26 Bilancio TELT com eun nuovo GA - Richiesto 21.10.2024 a CINEA il Grant Agreement. Non vi è traccia di questo GA nel sito ufficiale i CINEA che elenca tuuti i progetti finanziati dal CEF2: https://cinea.ec.europa.eu/document/download/ce7b409a-595c-48ce-92ed-3e71b4ef971e_en?filename=List%20of%20selected%20projects_FINAL.pdf</t>
        </r>
      </text>
    </comment>
    <comment ref="F8" authorId="0" shapeId="0" xr:uid="{01B4B131-32D3-4495-983F-249B7221A480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Ipotesi
</t>
        </r>
      </text>
    </comment>
    <comment ref="G8" authorId="0" shapeId="0" xr:uid="{77B5B455-202E-489F-AB72-19861D8C6144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Stima
</t>
        </r>
      </text>
    </comment>
    <comment ref="E9" authorId="0" shapeId="0" xr:uid="{FFFB8979-7EFC-4EF3-9853-2631B70C66E9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GA sarà firmato a novembre 2024</t>
        </r>
      </text>
    </comment>
    <comment ref="B10" authorId="0" shapeId="0" xr:uid="{C5278116-14F3-4C12-BCC3-A0DCBCEC647C}">
      <text>
        <r>
          <rPr>
            <sz val="9"/>
            <color indexed="81"/>
            <rFont val="Tahoma"/>
            <family val="2"/>
          </rPr>
          <t xml:space="preserve">https://www.presidioeuropa.net/blog/wp-content/uploads/2014/05/C-2008-77-33-F-IT-DECISIONE-DELLA-COMMISSIONE-CONTRIBUTO-FINANZIARIO-67281.pdf
</t>
        </r>
      </text>
    </comment>
    <comment ref="E10" authorId="0" shapeId="0" xr:uid="{2B45765B-6FF3-4ADD-BE29-0E98D77B16CF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Se i prossimi versamenti CEF fossero pari a €700 milioni, il Saldo della sovvenzione  potrebbe essere versato in 5 QFP terminando nel settennato 2063 - 2069</t>
        </r>
      </text>
    </comment>
    <comment ref="G13" authorId="0" shapeId="0" xr:uid="{23B02163-49E7-4954-85FE-F0CAC7D8A2EA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ex Bilancio TELT 2023</t>
        </r>
      </text>
    </comment>
    <comment ref="F15" authorId="0" shapeId="0" xr:uid="{CCA5D15C-AC5F-4E63-9684-8EDA232E952C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Da capire questa differenza</t>
        </r>
      </text>
    </comment>
    <comment ref="J17" authorId="0" shapeId="0" xr:uid="{53EAC416-9C1B-4371-97B9-7AA383D07461}">
      <text>
        <r>
          <rPr>
            <sz val="9"/>
            <color indexed="81"/>
            <rFont val="Tahoma"/>
            <family val="2"/>
          </rPr>
          <t>La ripartizione % è variabile in quanto glli studi sono al 50% per Francia e Italia mentre i costi per i lavori sono ripartiti al 57,9% per Italia e 42,1% per Francia.</t>
        </r>
      </text>
    </comment>
    <comment ref="B18" authorId="0" shapeId="0" xr:uid="{53560C73-EEF7-4452-9A82-A0C6B2589775}">
      <text>
        <r>
          <rPr>
            <sz val="9"/>
            <color indexed="81"/>
            <rFont val="Tahoma"/>
            <family val="2"/>
          </rPr>
          <t xml:space="preserve">Cfr. a pagina 24 della decisione la tabella costi per anni: https://www.presidioeuropa.net/blog/wp-content/uploads/2014/05/C-2008-77-33-F-IT-DECISIONE-DELLA-COMMISSIONE-CONTRIBUTO-FINANZIARIO-67281.pdf
</t>
        </r>
      </text>
    </comment>
    <comment ref="H21" authorId="0" shapeId="0" xr:uid="{F5EDB222-896D-4AE2-BD26-0487D499A74F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la Ripartizione Italia/Francia è indicata nell'ultimo emendamento del Grant Agreement
</t>
        </r>
      </text>
    </comment>
    <comment ref="F25" authorId="0" shapeId="0" xr:uid="{6A17F1D8-288A-41F0-A2E6-463CD4418410}">
      <text>
        <r>
          <rPr>
            <b/>
            <sz val="9"/>
            <color indexed="81"/>
            <rFont val="Tahoma"/>
            <family val="2"/>
          </rPr>
          <t>ex pagina 19 Biilancio TELT 2023</t>
        </r>
      </text>
    </comment>
    <comment ref="G26" authorId="0" shapeId="0" xr:uid="{7D068B70-93D5-4D8A-A5B4-F7089911469C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ex pagina 19 Biilancio TELT 2023</t>
        </r>
      </text>
    </comment>
    <comment ref="G28" authorId="0" shapeId="0" xr:uid="{D0C0E5CA-0570-4D52-8EE7-41ADD9E1C639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ex pagina 19 Biilancio TELT 2023</t>
        </r>
      </text>
    </comment>
    <comment ref="G30" authorId="0" shapeId="0" xr:uid="{FEDE1514-F662-4C06-BDBA-6EF63A8C57A8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ex pagina 19 Biilancio TELT 2023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Pablo Maqroll</author>
  </authors>
  <commentList>
    <comment ref="L37" authorId="0" shapeId="0" xr:uid="{F403A873-A6CA-4F4E-BB8C-8FF826077736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Francia</t>
        </r>
      </text>
    </comment>
    <comment ref="L38" authorId="0" shapeId="0" xr:uid="{2A8A07C6-36E9-4FAE-ABD5-DE9AA8FAF569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Italia</t>
        </r>
      </text>
    </comment>
    <comment ref="L39" authorId="0" shapeId="0" xr:uid="{99C6D167-75E7-4D0A-BB3E-77BBB2DE0878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UE Francia
</t>
        </r>
      </text>
    </comment>
    <comment ref="L40" authorId="0" shapeId="0" xr:uid="{4354873E-FC4B-47D0-9D13-8F8EC08A8374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UE Italia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Pablo Maqroll</author>
  </authors>
  <commentList>
    <comment ref="C5" authorId="0" shapeId="0" xr:uid="{42341B03-4CC1-4DDD-B7BE-7C064FED818F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I Bilanci LTF dal 2002 al 2007 non sono stati a suo tempo cercati, occorerebbe fare una richiesta alla CCIAA di Torino dove LTF era registrata.</t>
        </r>
      </text>
    </comment>
    <comment ref="E10" authorId="0" shapeId="0" xr:uid="{3C3E2994-9B6A-4D56-A590-0859E0AB1270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Importo rilevato nel Bilancio 2008</t>
        </r>
      </text>
    </comment>
    <comment ref="D16" authorId="0" shapeId="0" xr:uid="{1028661F-4C80-4FA4-8CBD-B5C88B0F9DFF}">
      <text>
        <r>
          <rPr>
            <b/>
            <sz val="9"/>
            <color indexed="81"/>
            <rFont val="Tahoma"/>
            <family val="2"/>
          </rPr>
          <t>Pablo Maqroll:</t>
        </r>
        <r>
          <rPr>
            <sz val="9"/>
            <color indexed="81"/>
            <rFont val="Tahoma"/>
            <family val="2"/>
          </rPr>
          <t xml:space="preserve">
Stima 2012+2013</t>
        </r>
      </text>
    </comment>
  </commentList>
</comments>
</file>

<file path=xl/sharedStrings.xml><?xml version="1.0" encoding="utf-8"?>
<sst xmlns="http://schemas.openxmlformats.org/spreadsheetml/2006/main" count="214" uniqueCount="151">
  <si>
    <t>a</t>
  </si>
  <si>
    <t>b</t>
  </si>
  <si>
    <t>c</t>
  </si>
  <si>
    <t>d</t>
  </si>
  <si>
    <t>note</t>
  </si>
  <si>
    <t>2007 - 2014</t>
  </si>
  <si>
    <t>2025 - 2028</t>
  </si>
  <si>
    <t>importo studi &amp; lavori</t>
  </si>
  <si>
    <t>2007-2013</t>
  </si>
  <si>
    <t>2014-2020</t>
  </si>
  <si>
    <t>2021-2027</t>
  </si>
  <si>
    <t>2007 - 2013</t>
  </si>
  <si>
    <t>2021 - 2027</t>
  </si>
  <si>
    <t>2014 - 2020</t>
  </si>
  <si>
    <t>n. anni di lavoro</t>
  </si>
  <si>
    <t>e</t>
  </si>
  <si>
    <t>f</t>
  </si>
  <si>
    <t>g</t>
  </si>
  <si>
    <t>h</t>
  </si>
  <si>
    <t>TOTALI</t>
  </si>
  <si>
    <t>anni di esecuzione dei lavori</t>
  </si>
  <si>
    <t>importo medio annuo sovvenzione UE-  b/f</t>
  </si>
  <si>
    <t>importo sovvenzione UE/CEF</t>
  </si>
  <si>
    <t>France</t>
  </si>
  <si>
    <t>Italie</t>
  </si>
  <si>
    <t>EU Italia</t>
  </si>
  <si>
    <t>EU France</t>
  </si>
  <si>
    <t>Immobilizzazioni</t>
  </si>
  <si>
    <t>Dati ex Bilancio TELT 2023</t>
  </si>
  <si>
    <t>Sovvenzioni</t>
  </si>
  <si>
    <t xml:space="preserve">Periodo </t>
  </si>
  <si>
    <t>2001-2006</t>
  </si>
  <si>
    <t>Francia</t>
  </si>
  <si>
    <t>Italia</t>
  </si>
  <si>
    <t>Totale</t>
  </si>
  <si>
    <t>Sovvenzioni EU versate a LTF/TELT</t>
  </si>
  <si>
    <t>2001 - 2006</t>
  </si>
  <si>
    <t>LTF</t>
  </si>
  <si>
    <t>TELT</t>
  </si>
  <si>
    <t>2029 - 2033</t>
  </si>
  <si>
    <t>2028 - 2034</t>
  </si>
  <si>
    <t>https://www.telt.eu/it/nuovo-finanziamento-ferrovia-bussoleno-avigliana/</t>
  </si>
  <si>
    <r>
      <t xml:space="preserve">Questi fondi coprono il 50% dei costi degli interventi previsti sulla tratta (un totale di 89 milioni in euro correnti) che sono a carico dei due Stati nel quadro del finanziamento </t>
    </r>
    <r>
      <rPr>
        <b/>
        <sz val="11"/>
        <color theme="1"/>
        <rFont val="Calibri"/>
        <family val="2"/>
        <scheme val="minor"/>
      </rPr>
      <t xml:space="preserve">TELT </t>
    </r>
    <r>
      <rPr>
        <sz val="11"/>
        <color theme="1"/>
        <rFont val="Calibri"/>
        <family val="2"/>
        <scheme val="minor"/>
      </rPr>
      <t xml:space="preserve">(in base al Trattato Italia-Francia del 2012) e </t>
    </r>
    <r>
      <rPr>
        <b/>
        <sz val="11"/>
        <color theme="1"/>
        <rFont val="Calibri"/>
        <family val="2"/>
        <scheme val="minor"/>
      </rPr>
      <t>RFI</t>
    </r>
    <r>
      <rPr>
        <sz val="11"/>
        <color theme="1"/>
        <rFont val="Calibri"/>
        <family val="2"/>
        <scheme val="minor"/>
      </rPr>
      <t xml:space="preserve">, società capofila del Polo Infrastrutture del </t>
    </r>
    <r>
      <rPr>
        <b/>
        <sz val="11"/>
        <color theme="1"/>
        <rFont val="Calibri"/>
        <family val="2"/>
        <scheme val="minor"/>
      </rPr>
      <t>Gruppo FS</t>
    </r>
    <r>
      <rPr>
        <sz val="11"/>
        <color theme="1"/>
        <rFont val="Calibri"/>
        <family val="2"/>
        <scheme val="minor"/>
      </rPr>
      <t>, committente dei lavori.</t>
    </r>
  </si>
  <si>
    <t>WP</t>
  </si>
  <si>
    <t>CEF Requested co-funding</t>
  </si>
  <si>
    <t>Investment Cost</t>
  </si>
  <si>
    <t>Interconnection of Bussoleno CO 01</t>
  </si>
  <si>
    <t>%</t>
  </si>
  <si>
    <t>Base tunnel Maddalena-Susa CO 03-04</t>
  </si>
  <si>
    <t>Civil works in Susa Plain CO 02</t>
  </si>
  <si>
    <t>Totali</t>
  </si>
  <si>
    <t>Base tunnel Villarodin-Bourget/Modane – La Maddalena CO 05</t>
  </si>
  <si>
    <t>Base tunnel S. Martin La Porte-Modane CO 06-07</t>
  </si>
  <si>
    <t>Base tunnel between S. Julien Mont Denis – S. Martin La Porte CO 08</t>
  </si>
  <si>
    <t>Management of the excavated materials in Italy CO 10</t>
  </si>
  <si>
    <t>Civil works in the S. J. de Maurienne plain CO 09</t>
  </si>
  <si>
    <t>Management of the excavated materials in France CO 11</t>
  </si>
  <si>
    <t>General costs and Prescriptions CO 00 &amp; CO 00P</t>
  </si>
  <si>
    <t>Horizontal Activities</t>
  </si>
  <si>
    <t>Project Management and Administrative activities</t>
  </si>
  <si>
    <t>Sovvenzioni da ricevere</t>
  </si>
  <si>
    <t>Storia sovvenzioni</t>
  </si>
  <si>
    <t>Debiti per Sovvenzioni</t>
  </si>
  <si>
    <t>2015 - 2024 (29.2)</t>
  </si>
  <si>
    <t>% media sovvenzione UE - b/d</t>
  </si>
  <si>
    <t>2007 - 2033</t>
  </si>
  <si>
    <t>settennati UE QFP</t>
  </si>
  <si>
    <t>Progetto TEN-T Torino - Lione</t>
  </si>
  <si>
    <t>importo medio annuo studi e lavori  d/f</t>
  </si>
  <si>
    <t>2024 (1.3)</t>
  </si>
  <si>
    <t>Lavori immobilizzati al 31 dicembre 2023</t>
  </si>
  <si>
    <t>Scostamento</t>
  </si>
  <si>
    <t>totali</t>
  </si>
  <si>
    <t>pagina</t>
  </si>
  <si>
    <t>descrizione</t>
  </si>
  <si>
    <t>Attivo immobilizzato</t>
  </si>
  <si>
    <t>% Francia</t>
  </si>
  <si>
    <t>% Italia</t>
  </si>
  <si>
    <t xml:space="preserve">      Ripartizione</t>
  </si>
  <si>
    <t xml:space="preserve">   Bilancio TELT 2023</t>
  </si>
  <si>
    <t>Contratti di appalto firmati</t>
  </si>
  <si>
    <t>Notizie finanziamenti LTF/TELT</t>
  </si>
  <si>
    <t>https://www.presidioeuropa.net/blog/comunicato-stampa-la-fine-del-tav/</t>
  </si>
  <si>
    <t>https://www.presidioeuropa.net/blog/wp-content/uploads/2014/05/La-fine-del-TAV-I-maneggi-della-Commissione-europea-Conferenzza-Stampa-14-maggio-2014.pdf</t>
  </si>
  <si>
    <t>IMPORTI CONTENUTI nella  DOMANDA al  BANDO CEF 2023 che ha OTTENUTO € 700 MILIONI</t>
  </si>
  <si>
    <t>Anno</t>
  </si>
  <si>
    <t>Bilancio</t>
  </si>
  <si>
    <t>Bilancio TELT 2023</t>
  </si>
  <si>
    <t>Bilancio TELT 2021</t>
  </si>
  <si>
    <t>Bilancio TELT 2019</t>
  </si>
  <si>
    <t>Bilancio TELT 2018</t>
  </si>
  <si>
    <t>Bilancio TELT 2017</t>
  </si>
  <si>
    <t>Bilancio TELT 2016</t>
  </si>
  <si>
    <t>Bilancio TELT 2015</t>
  </si>
  <si>
    <t>Bilancio LTF 2014 </t>
  </si>
  <si>
    <t>Bilancio LTF 2011</t>
  </si>
  <si>
    <t> Bilancio LTF 2009</t>
  </si>
  <si>
    <t>Bilancio LTF 2008</t>
  </si>
  <si>
    <t>n.d.</t>
  </si>
  <si>
    <t>Link</t>
  </si>
  <si>
    <t>Esercizio</t>
  </si>
  <si>
    <t>"</t>
  </si>
  <si>
    <t>Bilancio TELT 2022</t>
  </si>
  <si>
    <t>La Société a été enregistrée au Registre du</t>
  </si>
  <si>
    <t>Commerce et des Sociétés (RCS) de Chambéry</t>
  </si>
  <si>
    <t>le 17 octobre 2001 et auprès de la Chambre de</t>
  </si>
  <si>
    <t>Commerce de Turin</t>
  </si>
  <si>
    <t>Descrizione attività</t>
  </si>
  <si>
    <t>Immobilizzazioni dell'Anno</t>
  </si>
  <si>
    <t>Studi</t>
  </si>
  <si>
    <t>Lavori</t>
  </si>
  <si>
    <t>Acquisizioni fondiarie</t>
  </si>
  <si>
    <t>Costo di struttura</t>
  </si>
  <si>
    <t>Acquisizioni fondiarie trasferite allo Stato</t>
  </si>
  <si>
    <t>NOTE</t>
  </si>
  <si>
    <t>Totale colonna (d) periodo 2001-2024 (29.2)</t>
  </si>
  <si>
    <t>Immobilizzazioni finanziarie</t>
  </si>
  <si>
    <t>Totale immobilizzazioni</t>
  </si>
  <si>
    <t>Analisi dati consolidati al 31 dicembre 2023 - 22 anni di attività</t>
  </si>
  <si>
    <r>
      <rPr>
        <b/>
        <sz val="20"/>
        <color theme="1"/>
        <rFont val="Calibri"/>
        <family val="2"/>
        <scheme val="minor"/>
      </rPr>
      <t>Immobilizzazioni</t>
    </r>
    <r>
      <rPr>
        <b/>
        <sz val="18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 (Lavori, studi, costi di struttura ecc. )</t>
    </r>
  </si>
  <si>
    <t>Progressivo Immobilizzazioni</t>
  </si>
  <si>
    <t>ex pagina 26 Bilancio TELT 2023</t>
  </si>
  <si>
    <t>Pare che non sia stata richiesta l'applicazione della sovvenzione al 50+5%, vedremo a fine 2024 il Grant Agreement</t>
  </si>
  <si>
    <t>Domanda CEF2 Torino Lione del 29 Dicembre 2023</t>
  </si>
  <si>
    <t>I dati sopra indicati sono leggibili alle pagine 20-28 del file …..</t>
  </si>
  <si>
    <t>.</t>
  </si>
  <si>
    <t>affrontata in questi due post che</t>
  </si>
  <si>
    <t>illustravano l'annullamento del finan-</t>
  </si>
  <si>
    <t>Occorerebbe analizzare la questione</t>
  </si>
  <si>
    <t>per €671,8M</t>
  </si>
  <si>
    <t xml:space="preserve">al saldo di € 395,3 (671,8-276,5)M </t>
  </si>
  <si>
    <t xml:space="preserve">dato che l'importo di € 235,62M è inferiore </t>
  </si>
  <si>
    <t xml:space="preserve">A meno che questo finanziamento non </t>
  </si>
  <si>
    <t>comprendesse anche i costi 2001-2006 per</t>
  </si>
  <si>
    <t>danno un totale di €410,56M</t>
  </si>
  <si>
    <t>€174,94M, che sommati a quelli del 2008-2013</t>
  </si>
  <si>
    <t>ziamento per €276,5M, il 41,2% della</t>
  </si>
  <si>
    <t>Decisione di finanziamento concessa nel 2008</t>
  </si>
  <si>
    <t>Sovvenzioni Nazionali - dati ex pagina 19 Bilancio TELT 2023</t>
  </si>
  <si>
    <t>2001 - 2023</t>
  </si>
  <si>
    <t>tabella a destra</t>
  </si>
  <si>
    <t>somma di 4</t>
  </si>
  <si>
    <t>somma di 5</t>
  </si>
  <si>
    <t>Sovvenzioni UE - dati ex pagina 26-27 Bilancio TELT 2023</t>
  </si>
  <si>
    <t>Totale imp.nazionali</t>
  </si>
  <si>
    <t>Totale importi UE</t>
  </si>
  <si>
    <t>TOTALE</t>
  </si>
  <si>
    <t>FINANZIATORI</t>
  </si>
  <si>
    <t xml:space="preserve">                Pagina 19 ex Bilancio TELT 2023</t>
  </si>
  <si>
    <t>Finanziamenti naz.li &amp; UE</t>
  </si>
  <si>
    <t>Bilancio TELT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</si>
</sst>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€&quot;\ * #,##0.00_-;\-&quot;€&quot;\ * #,##0.00_-;_-&quot;€&quot;\ * &quot;-&quot;??_-;_-@_-"/>
    <numFmt numFmtId="164" formatCode="&quot;€&quot;\ #,##0.00"/>
    <numFmt numFmtId="165" formatCode="#,##0\ [$€-1];[Red]\-#,##0\ [$€-1]"/>
    <numFmt numFmtId="166" formatCode="0.0"/>
    <numFmt numFmtId="167" formatCode="0.0%"/>
    <numFmt numFmtId="168" formatCode="&quot;€&quot;\ #,##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10"/>
      <name val="Calibri"/>
      <family val="2"/>
      <scheme val="minor"/>
    </font>
    <font>
      <u/>
      <sz val="9"/>
      <color indexed="81"/>
      <name val="Tahoma"/>
      <family val="2"/>
    </font>
    <font>
      <u/>
      <sz val="10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8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8">
    <xf numFmtId="0" fontId="0" fillId="0" borderId="0" xfId="0"/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/>
    <xf numFmtId="0" fontId="3" fillId="3" borderId="0" xfId="1" applyFill="1"/>
    <xf numFmtId="0" fontId="0" fillId="3" borderId="0" xfId="0" applyFill="1"/>
    <xf numFmtId="0" fontId="0" fillId="3" borderId="0" xfId="0" applyFill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13" fillId="3" borderId="0" xfId="1" applyFont="1" applyFill="1"/>
    <xf numFmtId="4" fontId="1" fillId="3" borderId="21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4" fontId="0" fillId="3" borderId="28" xfId="0" applyNumberFormat="1" applyFill="1" applyBorder="1" applyAlignment="1">
      <alignment horizontal="center"/>
    </xf>
    <xf numFmtId="4" fontId="0" fillId="3" borderId="29" xfId="0" applyNumberFormat="1" applyFill="1" applyBorder="1" applyAlignment="1">
      <alignment horizontal="center"/>
    </xf>
    <xf numFmtId="4" fontId="0" fillId="3" borderId="31" xfId="0" applyNumberFormat="1" applyFill="1" applyBorder="1" applyAlignment="1">
      <alignment horizontal="center"/>
    </xf>
    <xf numFmtId="4" fontId="0" fillId="3" borderId="32" xfId="0" applyNumberFormat="1" applyFill="1" applyBorder="1" applyAlignment="1">
      <alignment horizontal="center"/>
    </xf>
    <xf numFmtId="4" fontId="0" fillId="3" borderId="34" xfId="0" applyNumberFormat="1" applyFill="1" applyBorder="1" applyAlignment="1">
      <alignment horizontal="center"/>
    </xf>
    <xf numFmtId="4" fontId="0" fillId="3" borderId="35" xfId="0" applyNumberFormat="1" applyFill="1" applyBorder="1" applyAlignment="1">
      <alignment horizontal="center"/>
    </xf>
    <xf numFmtId="4" fontId="0" fillId="3" borderId="0" xfId="0" applyNumberFormat="1" applyFill="1" applyAlignment="1">
      <alignment horizontal="center"/>
    </xf>
    <xf numFmtId="4" fontId="0" fillId="3" borderId="37" xfId="0" applyNumberFormat="1" applyFill="1" applyBorder="1" applyAlignment="1">
      <alignment horizontal="center"/>
    </xf>
    <xf numFmtId="4" fontId="0" fillId="3" borderId="38" xfId="0" applyNumberForma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0" fillId="3" borderId="40" xfId="0" applyNumberFormat="1" applyFill="1" applyBorder="1" applyAlignment="1">
      <alignment horizontal="center"/>
    </xf>
    <xf numFmtId="4" fontId="1" fillId="3" borderId="41" xfId="0" applyNumberFormat="1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4" fontId="0" fillId="3" borderId="0" xfId="0" applyNumberFormat="1" applyFill="1"/>
    <xf numFmtId="0" fontId="1" fillId="3" borderId="0" xfId="0" applyFont="1" applyFill="1" applyAlignment="1">
      <alignment horizontal="right"/>
    </xf>
    <xf numFmtId="0" fontId="0" fillId="0" borderId="42" xfId="0" applyBorder="1" applyAlignment="1">
      <alignment horizontal="center"/>
    </xf>
    <xf numFmtId="4" fontId="0" fillId="0" borderId="18" xfId="0" applyNumberForma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3" fillId="0" borderId="0" xfId="1"/>
    <xf numFmtId="165" fontId="0" fillId="0" borderId="0" xfId="0" applyNumberFormat="1"/>
    <xf numFmtId="0" fontId="0" fillId="0" borderId="53" xfId="0" applyBorder="1"/>
    <xf numFmtId="0" fontId="0" fillId="0" borderId="54" xfId="0" applyBorder="1"/>
    <xf numFmtId="4" fontId="0" fillId="3" borderId="14" xfId="0" applyNumberFormat="1" applyFill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 wrapText="1"/>
    </xf>
    <xf numFmtId="3" fontId="0" fillId="0" borderId="18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4" xfId="0" applyNumberForma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15" xfId="0" applyNumberFormat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3" xfId="0" applyNumberForma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/>
    </xf>
    <xf numFmtId="49" fontId="18" fillId="0" borderId="7" xfId="0" applyNumberFormat="1" applyFont="1" applyBorder="1" applyAlignment="1">
      <alignment horizontal="center"/>
    </xf>
    <xf numFmtId="49" fontId="18" fillId="3" borderId="9" xfId="0" applyNumberFormat="1" applyFont="1" applyFill="1" applyBorder="1" applyAlignment="1">
      <alignment horizontal="center"/>
    </xf>
    <xf numFmtId="49" fontId="18" fillId="0" borderId="9" xfId="0" applyNumberFormat="1" applyFont="1" applyBorder="1" applyAlignment="1">
      <alignment horizontal="center"/>
    </xf>
    <xf numFmtId="49" fontId="18" fillId="0" borderId="14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6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/>
    </xf>
    <xf numFmtId="166" fontId="18" fillId="0" borderId="12" xfId="0" applyNumberFormat="1" applyFont="1" applyBorder="1" applyAlignment="1">
      <alignment horizontal="center"/>
    </xf>
    <xf numFmtId="166" fontId="18" fillId="3" borderId="19" xfId="0" applyNumberFormat="1" applyFont="1" applyFill="1" applyBorder="1" applyAlignment="1">
      <alignment horizontal="center"/>
    </xf>
    <xf numFmtId="167" fontId="18" fillId="0" borderId="6" xfId="0" applyNumberFormat="1" applyFont="1" applyBorder="1" applyAlignment="1">
      <alignment horizontal="center" vertical="center" wrapText="1"/>
    </xf>
    <xf numFmtId="167" fontId="18" fillId="0" borderId="3" xfId="0" applyNumberFormat="1" applyFont="1" applyBorder="1" applyAlignment="1">
      <alignment horizontal="center" vertical="center" wrapText="1"/>
    </xf>
    <xf numFmtId="167" fontId="18" fillId="0" borderId="14" xfId="0" applyNumberFormat="1" applyFont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 vertical="center"/>
    </xf>
    <xf numFmtId="0" fontId="1" fillId="3" borderId="5" xfId="0" applyFont="1" applyFill="1" applyBorder="1"/>
    <xf numFmtId="3" fontId="1" fillId="3" borderId="0" xfId="0" applyNumberFormat="1" applyFont="1" applyFill="1" applyAlignment="1">
      <alignment horizontal="center"/>
    </xf>
    <xf numFmtId="0" fontId="0" fillId="3" borderId="23" xfId="0" applyFill="1" applyBorder="1"/>
    <xf numFmtId="3" fontId="1" fillId="3" borderId="11" xfId="0" applyNumberFormat="1" applyFont="1" applyFill="1" applyBorder="1" applyAlignment="1">
      <alignment horizontal="center"/>
    </xf>
    <xf numFmtId="0" fontId="0" fillId="3" borderId="12" xfId="0" applyFill="1" applyBorder="1"/>
    <xf numFmtId="4" fontId="0" fillId="3" borderId="55" xfId="0" applyNumberFormat="1" applyFill="1" applyBorder="1"/>
    <xf numFmtId="0" fontId="1" fillId="3" borderId="55" xfId="0" applyFont="1" applyFill="1" applyBorder="1" applyAlignment="1">
      <alignment horizontal="right"/>
    </xf>
    <xf numFmtId="3" fontId="1" fillId="3" borderId="13" xfId="0" applyNumberFormat="1" applyFont="1" applyFill="1" applyBorder="1" applyAlignment="1">
      <alignment horizontal="center"/>
    </xf>
    <xf numFmtId="0" fontId="0" fillId="3" borderId="24" xfId="0" applyFill="1" applyBorder="1"/>
    <xf numFmtId="0" fontId="0" fillId="3" borderId="25" xfId="0" applyFill="1" applyBorder="1"/>
    <xf numFmtId="3" fontId="2" fillId="0" borderId="26" xfId="0" applyNumberFormat="1" applyFont="1" applyBorder="1" applyAlignment="1">
      <alignment horizontal="center"/>
    </xf>
    <xf numFmtId="0" fontId="2" fillId="0" borderId="25" xfId="0" applyFont="1" applyBorder="1"/>
    <xf numFmtId="0" fontId="1" fillId="3" borderId="10" xfId="0" applyFont="1" applyFill="1" applyBorder="1" applyAlignment="1">
      <alignment horizontal="right"/>
    </xf>
    <xf numFmtId="3" fontId="0" fillId="3" borderId="29" xfId="0" applyNumberFormat="1" applyFill="1" applyBorder="1" applyAlignment="1">
      <alignment horizontal="center"/>
    </xf>
    <xf numFmtId="3" fontId="0" fillId="3" borderId="32" xfId="0" applyNumberFormat="1" applyFill="1" applyBorder="1" applyAlignment="1">
      <alignment horizontal="center"/>
    </xf>
    <xf numFmtId="3" fontId="0" fillId="3" borderId="35" xfId="0" applyNumberFormat="1" applyFill="1" applyBorder="1" applyAlignment="1">
      <alignment horizontal="center"/>
    </xf>
    <xf numFmtId="3" fontId="1" fillId="3" borderId="41" xfId="0" applyNumberFormat="1" applyFont="1" applyFill="1" applyBorder="1" applyAlignment="1">
      <alignment horizontal="center"/>
    </xf>
    <xf numFmtId="3" fontId="0" fillId="3" borderId="38" xfId="0" applyNumberForma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0" fillId="3" borderId="28" xfId="0" applyNumberFormat="1" applyFill="1" applyBorder="1" applyAlignment="1">
      <alignment horizontal="center"/>
    </xf>
    <xf numFmtId="3" fontId="0" fillId="3" borderId="31" xfId="0" applyNumberFormat="1" applyFill="1" applyBorder="1" applyAlignment="1">
      <alignment horizontal="center"/>
    </xf>
    <xf numFmtId="3" fontId="0" fillId="3" borderId="34" xfId="0" applyNumberFormat="1" applyFill="1" applyBorder="1" applyAlignment="1">
      <alignment horizontal="center"/>
    </xf>
    <xf numFmtId="3" fontId="0" fillId="3" borderId="40" xfId="0" applyNumberFormat="1" applyFill="1" applyBorder="1" applyAlignment="1">
      <alignment horizontal="center"/>
    </xf>
    <xf numFmtId="3" fontId="0" fillId="3" borderId="37" xfId="0" applyNumberFormat="1" applyFill="1" applyBorder="1" applyAlignment="1">
      <alignment horizontal="center"/>
    </xf>
    <xf numFmtId="4" fontId="11" fillId="3" borderId="0" xfId="0" applyNumberFormat="1" applyFont="1" applyFill="1"/>
    <xf numFmtId="0" fontId="1" fillId="3" borderId="21" xfId="0" applyFont="1" applyFill="1" applyBorder="1"/>
    <xf numFmtId="0" fontId="0" fillId="3" borderId="2" xfId="0" applyFill="1" applyBorder="1"/>
    <xf numFmtId="0" fontId="0" fillId="3" borderId="10" xfId="0" applyFill="1" applyBorder="1"/>
    <xf numFmtId="0" fontId="0" fillId="3" borderId="23" xfId="0" applyFill="1" applyBorder="1" applyAlignment="1">
      <alignment horizontal="center"/>
    </xf>
    <xf numFmtId="0" fontId="0" fillId="3" borderId="11" xfId="0" applyFill="1" applyBorder="1"/>
    <xf numFmtId="0" fontId="0" fillId="3" borderId="55" xfId="0" applyFill="1" applyBorder="1" applyAlignment="1">
      <alignment horizontal="center"/>
    </xf>
    <xf numFmtId="0" fontId="0" fillId="3" borderId="55" xfId="0" applyFill="1" applyBorder="1"/>
    <xf numFmtId="0" fontId="0" fillId="3" borderId="13" xfId="0" applyFill="1" applyBorder="1"/>
    <xf numFmtId="0" fontId="0" fillId="3" borderId="25" xfId="0" applyFill="1" applyBorder="1" applyAlignment="1">
      <alignment horizontal="center"/>
    </xf>
    <xf numFmtId="0" fontId="0" fillId="3" borderId="26" xfId="0" applyFill="1" applyBorder="1"/>
    <xf numFmtId="3" fontId="0" fillId="3" borderId="0" xfId="0" applyNumberFormat="1" applyFill="1"/>
    <xf numFmtId="0" fontId="6" fillId="3" borderId="5" xfId="0" applyFont="1" applyFill="1" applyBorder="1" applyAlignment="1">
      <alignment horizontal="center"/>
    </xf>
    <xf numFmtId="4" fontId="6" fillId="3" borderId="2" xfId="0" applyNumberFormat="1" applyFont="1" applyFill="1" applyBorder="1" applyAlignment="1">
      <alignment horizontal="center"/>
    </xf>
    <xf numFmtId="2" fontId="0" fillId="3" borderId="44" xfId="0" applyNumberFormat="1" applyFill="1" applyBorder="1" applyAlignment="1">
      <alignment horizontal="center"/>
    </xf>
    <xf numFmtId="2" fontId="0" fillId="3" borderId="46" xfId="0" applyNumberFormat="1" applyFill="1" applyBorder="1" applyAlignment="1">
      <alignment horizontal="center"/>
    </xf>
    <xf numFmtId="2" fontId="0" fillId="3" borderId="47" xfId="0" applyNumberFormat="1" applyFill="1" applyBorder="1" applyAlignment="1">
      <alignment horizontal="center"/>
    </xf>
    <xf numFmtId="2" fontId="0" fillId="3" borderId="49" xfId="0" applyNumberFormat="1" applyFill="1" applyBorder="1" applyAlignment="1">
      <alignment horizontal="center"/>
    </xf>
    <xf numFmtId="2" fontId="0" fillId="3" borderId="50" xfId="0" applyNumberFormat="1" applyFill="1" applyBorder="1" applyAlignment="1">
      <alignment horizontal="center"/>
    </xf>
    <xf numFmtId="2" fontId="0" fillId="3" borderId="52" xfId="0" applyNumberFormat="1" applyFill="1" applyBorder="1" applyAlignment="1">
      <alignment horizontal="center"/>
    </xf>
    <xf numFmtId="0" fontId="9" fillId="3" borderId="0" xfId="0" applyFont="1" applyFill="1"/>
    <xf numFmtId="3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0" fontId="19" fillId="3" borderId="0" xfId="0" applyFont="1" applyFill="1" applyAlignment="1">
      <alignment horizontal="left"/>
    </xf>
    <xf numFmtId="0" fontId="1" fillId="3" borderId="61" xfId="0" applyFont="1" applyFill="1" applyBorder="1" applyAlignment="1">
      <alignment horizontal="center" vertical="center" wrapText="1"/>
    </xf>
    <xf numFmtId="0" fontId="1" fillId="3" borderId="62" xfId="0" applyFont="1" applyFill="1" applyBorder="1" applyAlignment="1">
      <alignment horizontal="center" vertical="center" wrapText="1"/>
    </xf>
    <xf numFmtId="3" fontId="1" fillId="3" borderId="62" xfId="0" applyNumberFormat="1" applyFont="1" applyFill="1" applyBorder="1" applyAlignment="1">
      <alignment horizontal="center" vertical="center" wrapText="1"/>
    </xf>
    <xf numFmtId="0" fontId="10" fillId="3" borderId="63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center"/>
    </xf>
    <xf numFmtId="3" fontId="1" fillId="3" borderId="59" xfId="0" applyNumberFormat="1" applyFont="1" applyFill="1" applyBorder="1" applyAlignment="1">
      <alignment horizontal="center"/>
    </xf>
    <xf numFmtId="0" fontId="1" fillId="3" borderId="60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0" fontId="1" fillId="3" borderId="53" xfId="0" applyFont="1" applyFill="1" applyBorder="1" applyAlignment="1">
      <alignment horizontal="center"/>
    </xf>
    <xf numFmtId="0" fontId="1" fillId="3" borderId="57" xfId="0" applyFont="1" applyFill="1" applyBorder="1"/>
    <xf numFmtId="3" fontId="0" fillId="3" borderId="48" xfId="0" applyNumberFormat="1" applyFill="1" applyBorder="1" applyAlignment="1">
      <alignment horizontal="center"/>
    </xf>
    <xf numFmtId="0" fontId="1" fillId="3" borderId="16" xfId="0" applyFont="1" applyFill="1" applyBorder="1"/>
    <xf numFmtId="3" fontId="1" fillId="3" borderId="0" xfId="0" applyNumberFormat="1" applyFont="1" applyFill="1"/>
    <xf numFmtId="0" fontId="1" fillId="3" borderId="53" xfId="0" applyFont="1" applyFill="1" applyBorder="1"/>
    <xf numFmtId="3" fontId="0" fillId="3" borderId="54" xfId="0" applyNumberFormat="1" applyFill="1" applyBorder="1"/>
    <xf numFmtId="0" fontId="1" fillId="3" borderId="50" xfId="0" applyFont="1" applyFill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3" fontId="0" fillId="3" borderId="51" xfId="0" applyNumberFormat="1" applyFill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3" fontId="1" fillId="3" borderId="21" xfId="0" applyNumberFormat="1" applyFont="1" applyFill="1" applyBorder="1"/>
    <xf numFmtId="0" fontId="0" fillId="3" borderId="56" xfId="0" applyFill="1" applyBorder="1"/>
    <xf numFmtId="0" fontId="0" fillId="3" borderId="4" xfId="0" applyFill="1" applyBorder="1"/>
    <xf numFmtId="0" fontId="0" fillId="3" borderId="15" xfId="0" applyFill="1" applyBorder="1"/>
    <xf numFmtId="0" fontId="0" fillId="3" borderId="57" xfId="0" applyFill="1" applyBorder="1"/>
    <xf numFmtId="0" fontId="11" fillId="3" borderId="48" xfId="0" applyFont="1" applyFill="1" applyBorder="1" applyAlignment="1">
      <alignment horizontal="center"/>
    </xf>
    <xf numFmtId="0" fontId="20" fillId="3" borderId="48" xfId="1" applyFont="1" applyFill="1" applyBorder="1" applyAlignment="1">
      <alignment horizontal="center" vertical="center"/>
    </xf>
    <xf numFmtId="0" fontId="21" fillId="3" borderId="48" xfId="1" applyFont="1" applyFill="1" applyBorder="1" applyAlignment="1">
      <alignment horizontal="center" vertical="center"/>
    </xf>
    <xf numFmtId="0" fontId="20" fillId="3" borderId="0" xfId="1" applyFont="1" applyFill="1" applyAlignment="1">
      <alignment horizontal="center"/>
    </xf>
    <xf numFmtId="0" fontId="20" fillId="3" borderId="51" xfId="1" applyFont="1" applyFill="1" applyBorder="1" applyAlignment="1">
      <alignment horizontal="center" vertical="center"/>
    </xf>
    <xf numFmtId="167" fontId="10" fillId="3" borderId="56" xfId="0" applyNumberFormat="1" applyFont="1" applyFill="1" applyBorder="1" applyAlignment="1">
      <alignment horizontal="center"/>
    </xf>
    <xf numFmtId="167" fontId="10" fillId="3" borderId="4" xfId="0" applyNumberFormat="1" applyFont="1" applyFill="1" applyBorder="1" applyAlignment="1">
      <alignment horizontal="center"/>
    </xf>
    <xf numFmtId="167" fontId="10" fillId="3" borderId="2" xfId="0" applyNumberFormat="1" applyFont="1" applyFill="1" applyBorder="1"/>
    <xf numFmtId="3" fontId="18" fillId="3" borderId="0" xfId="0" applyNumberFormat="1" applyFont="1" applyFill="1"/>
    <xf numFmtId="3" fontId="0" fillId="3" borderId="12" xfId="0" applyNumberFormat="1" applyFill="1" applyBorder="1" applyAlignment="1">
      <alignment horizontal="center"/>
    </xf>
    <xf numFmtId="168" fontId="24" fillId="3" borderId="0" xfId="0" applyNumberFormat="1" applyFont="1" applyFill="1" applyAlignment="1">
      <alignment horizontal="center"/>
    </xf>
    <xf numFmtId="0" fontId="25" fillId="3" borderId="0" xfId="1" applyFont="1" applyFill="1" applyBorder="1" applyAlignment="1">
      <alignment horizontal="center" vertical="center"/>
    </xf>
    <xf numFmtId="0" fontId="0" fillId="3" borderId="44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45" xfId="0" applyFill="1" applyBorder="1"/>
    <xf numFmtId="3" fontId="0" fillId="3" borderId="45" xfId="0" applyNumberFormat="1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3" borderId="48" xfId="0" applyFill="1" applyBorder="1"/>
    <xf numFmtId="0" fontId="0" fillId="3" borderId="49" xfId="0" applyFill="1" applyBorder="1" applyAlignment="1">
      <alignment horizontal="center"/>
    </xf>
    <xf numFmtId="0" fontId="0" fillId="3" borderId="48" xfId="0" applyFill="1" applyBorder="1" applyAlignment="1">
      <alignment horizontal="left"/>
    </xf>
    <xf numFmtId="0" fontId="0" fillId="3" borderId="51" xfId="0" applyFill="1" applyBorder="1"/>
    <xf numFmtId="0" fontId="0" fillId="3" borderId="52" xfId="0" applyFill="1" applyBorder="1" applyAlignment="1">
      <alignment horizontal="center"/>
    </xf>
    <xf numFmtId="3" fontId="1" fillId="3" borderId="21" xfId="0" applyNumberFormat="1" applyFont="1" applyFill="1" applyBorder="1" applyAlignment="1">
      <alignment horizontal="center"/>
    </xf>
    <xf numFmtId="0" fontId="1" fillId="3" borderId="63" xfId="0" applyFont="1" applyFill="1" applyBorder="1" applyAlignment="1">
      <alignment horizontal="center" vertical="center" wrapText="1"/>
    </xf>
    <xf numFmtId="0" fontId="26" fillId="0" borderId="0" xfId="1" applyFont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17" fillId="3" borderId="0" xfId="0" applyFont="1" applyFill="1"/>
    <xf numFmtId="0" fontId="0" fillId="0" borderId="3" xfId="0" applyBorder="1"/>
    <xf numFmtId="0" fontId="23" fillId="3" borderId="3" xfId="1" applyFont="1" applyFill="1" applyBorder="1"/>
    <xf numFmtId="4" fontId="23" fillId="3" borderId="3" xfId="1" applyNumberFormat="1" applyFont="1" applyFill="1" applyBorder="1"/>
    <xf numFmtId="0" fontId="1" fillId="3" borderId="17" xfId="0" applyFont="1" applyFill="1" applyBorder="1"/>
    <xf numFmtId="3" fontId="0" fillId="3" borderId="3" xfId="0" applyNumberFormat="1" applyFill="1" applyBorder="1"/>
    <xf numFmtId="0" fontId="0" fillId="3" borderId="3" xfId="0" applyFill="1" applyBorder="1"/>
    <xf numFmtId="0" fontId="0" fillId="3" borderId="14" xfId="0" applyFill="1" applyBorder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1" fillId="3" borderId="63" xfId="0" applyFont="1" applyFill="1" applyBorder="1" applyAlignment="1">
      <alignment horizontal="center"/>
    </xf>
    <xf numFmtId="0" fontId="0" fillId="3" borderId="64" xfId="0" applyFill="1" applyBorder="1" applyAlignment="1">
      <alignment horizontal="center"/>
    </xf>
    <xf numFmtId="4" fontId="0" fillId="3" borderId="65" xfId="0" applyNumberFormat="1" applyFill="1" applyBorder="1" applyAlignment="1">
      <alignment horizontal="center"/>
    </xf>
    <xf numFmtId="4" fontId="1" fillId="3" borderId="66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5" fillId="3" borderId="53" xfId="0" applyNumberFormat="1" applyFont="1" applyFill="1" applyBorder="1" applyAlignment="1">
      <alignment horizontal="center"/>
    </xf>
    <xf numFmtId="4" fontId="5" fillId="3" borderId="54" xfId="0" applyNumberFormat="1" applyFont="1" applyFill="1" applyBorder="1" applyAlignment="1">
      <alignment horizontal="center"/>
    </xf>
    <xf numFmtId="2" fontId="5" fillId="3" borderId="56" xfId="0" applyNumberFormat="1" applyFont="1" applyFill="1" applyBorder="1" applyAlignment="1">
      <alignment horizontal="center"/>
    </xf>
    <xf numFmtId="2" fontId="5" fillId="3" borderId="57" xfId="0" applyNumberFormat="1" applyFont="1" applyFill="1" applyBorder="1" applyAlignment="1">
      <alignment horizontal="center"/>
    </xf>
    <xf numFmtId="4" fontId="5" fillId="3" borderId="0" xfId="0" applyNumberFormat="1" applyFont="1" applyFill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4" fontId="6" fillId="3" borderId="21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center"/>
    </xf>
    <xf numFmtId="0" fontId="0" fillId="3" borderId="54" xfId="0" applyFill="1" applyBorder="1"/>
    <xf numFmtId="0" fontId="0" fillId="3" borderId="5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left"/>
    </xf>
    <xf numFmtId="4" fontId="0" fillId="0" borderId="53" xfId="0" applyNumberFormat="1" applyBorder="1"/>
    <xf numFmtId="4" fontId="0" fillId="0" borderId="54" xfId="0" applyNumberFormat="1" applyBorder="1" applyAlignment="1">
      <alignment horizontal="center"/>
    </xf>
    <xf numFmtId="4" fontId="0" fillId="0" borderId="54" xfId="0" applyNumberFormat="1" applyBorder="1"/>
    <xf numFmtId="4" fontId="0" fillId="0" borderId="56" xfId="0" applyNumberFormat="1" applyBorder="1"/>
    <xf numFmtId="4" fontId="0" fillId="0" borderId="57" xfId="0" applyNumberFormat="1" applyBorder="1"/>
    <xf numFmtId="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4" xfId="0" applyNumberFormat="1" applyBorder="1"/>
    <xf numFmtId="4" fontId="1" fillId="0" borderId="0" xfId="0" applyNumberFormat="1" applyFont="1" applyAlignment="1">
      <alignment horizontal="left"/>
    </xf>
    <xf numFmtId="4" fontId="0" fillId="0" borderId="16" xfId="0" applyNumberFormat="1" applyBorder="1"/>
    <xf numFmtId="4" fontId="0" fillId="0" borderId="22" xfId="0" applyNumberFormat="1" applyBorder="1"/>
    <xf numFmtId="4" fontId="0" fillId="0" borderId="15" xfId="0" applyNumberFormat="1" applyBorder="1"/>
    <xf numFmtId="164" fontId="0" fillId="3" borderId="24" xfId="0" applyNumberFormat="1" applyFill="1" applyBorder="1" applyAlignment="1">
      <alignment horizontal="center"/>
    </xf>
    <xf numFmtId="164" fontId="0" fillId="3" borderId="26" xfId="0" applyNumberForma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44" fontId="1" fillId="3" borderId="0" xfId="0" applyNumberFormat="1" applyFont="1" applyFill="1"/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3" fontId="0" fillId="4" borderId="48" xfId="0" applyNumberFormat="1" applyFill="1" applyBorder="1" applyAlignment="1">
      <alignment horizontal="center"/>
    </xf>
    <xf numFmtId="3" fontId="0" fillId="4" borderId="51" xfId="0" applyNumberForma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7" fontId="18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7" fillId="3" borderId="21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1" fillId="3" borderId="21" xfId="0" applyNumberFormat="1" applyFont="1" applyFill="1" applyBorder="1" applyAlignment="1">
      <alignment horizontal="center"/>
    </xf>
    <xf numFmtId="0" fontId="20" fillId="0" borderId="0" xfId="1" applyFont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7" Type="http://schemas.openxmlformats.org/officeDocument/2006/relationships/image" Target="../media/image8.png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png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360406</xdr:colOff>
      <xdr:row>23</xdr:row>
      <xdr:rowOff>120136</xdr:rowOff>
    </xdr:from>
    <xdr:to>
      <xdr:col>17</xdr:col>
      <xdr:colOff>514522</xdr:colOff>
      <xdr:row>34</xdr:row>
      <xdr:rowOff>158580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692B1BC-B8BF-31AE-4A0F-6FD88AE70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0271" y="4874055"/>
          <a:ext cx="6178035" cy="21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215900</xdr:colOff>
      <xdr:row>11</xdr:row>
      <xdr:rowOff>101600</xdr:rowOff>
    </xdr:from>
    <xdr:to>
      <xdr:col>16</xdr:col>
      <xdr:colOff>532130</xdr:colOff>
      <xdr:row>20</xdr:row>
      <xdr:rowOff>64135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D04CDB3-253A-59FD-B694-585D2DE37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2222500"/>
          <a:ext cx="6120130" cy="16198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17</xdr:col>
      <xdr:colOff>316230</xdr:colOff>
      <xdr:row>24</xdr:row>
      <xdr:rowOff>61595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F4EE597A-FD03-69A0-F15B-092565D9B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0550" y="4146550"/>
          <a:ext cx="6120130" cy="50609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0</xdr:colOff>
      <xdr:row>25</xdr:row>
      <xdr:rowOff>0</xdr:rowOff>
    </xdr:from>
    <xdr:to>
      <xdr:col>18</xdr:col>
      <xdr:colOff>25400</xdr:colOff>
      <xdr:row>26</xdr:row>
      <xdr:rowOff>158750</xdr:rowOff>
    </xdr:to>
    <xdr:pic>
      <xdr:nvPicPr>
        <xdr:cNvPr id="6" name="Immagine 9">
          <a:extLst>
            <a:ext uri="{FF2B5EF4-FFF2-40B4-BE49-F238E27FC236}">
              <a16:creationId xmlns:a16="http://schemas.microsoft.com/office/drawing/2014/main" id="{7527CFED-F2E7-79D5-1ACC-97215B53F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7700" y="4699000"/>
          <a:ext cx="61214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26</xdr:row>
      <xdr:rowOff>120650</xdr:rowOff>
    </xdr:from>
    <xdr:to>
      <xdr:col>18</xdr:col>
      <xdr:colOff>25400</xdr:colOff>
      <xdr:row>30</xdr:row>
      <xdr:rowOff>95250</xdr:rowOff>
    </xdr:to>
    <xdr:pic>
      <xdr:nvPicPr>
        <xdr:cNvPr id="7" name="Immagine 12">
          <a:extLst>
            <a:ext uri="{FF2B5EF4-FFF2-40B4-BE49-F238E27FC236}">
              <a16:creationId xmlns:a16="http://schemas.microsoft.com/office/drawing/2014/main" id="{BE89C9CF-68AC-5076-4E81-130623185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7700" y="5003800"/>
          <a:ext cx="6121400" cy="52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29</xdr:row>
      <xdr:rowOff>184150</xdr:rowOff>
    </xdr:from>
    <xdr:to>
      <xdr:col>18</xdr:col>
      <xdr:colOff>19050</xdr:colOff>
      <xdr:row>34</xdr:row>
      <xdr:rowOff>6350</xdr:rowOff>
    </xdr:to>
    <xdr:pic>
      <xdr:nvPicPr>
        <xdr:cNvPr id="8" name="Immagine 10">
          <a:extLst>
            <a:ext uri="{FF2B5EF4-FFF2-40B4-BE49-F238E27FC236}">
              <a16:creationId xmlns:a16="http://schemas.microsoft.com/office/drawing/2014/main" id="{82756276-29D0-E845-CFCA-2C6886046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4250" y="5530850"/>
          <a:ext cx="6432550" cy="75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133350</xdr:colOff>
      <xdr:row>0</xdr:row>
      <xdr:rowOff>228600</xdr:rowOff>
    </xdr:from>
    <xdr:to>
      <xdr:col>16</xdr:col>
      <xdr:colOff>596900</xdr:colOff>
      <xdr:row>10</xdr:row>
      <xdr:rowOff>158750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5822C21B-89C2-FFF8-7B24-E99C4E7B7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0" y="228600"/>
          <a:ext cx="6267450" cy="186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273050</xdr:colOff>
      <xdr:row>34</xdr:row>
      <xdr:rowOff>44450</xdr:rowOff>
    </xdr:from>
    <xdr:to>
      <xdr:col>9</xdr:col>
      <xdr:colOff>508000</xdr:colOff>
      <xdr:row>42</xdr:row>
      <xdr:rowOff>169423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20806EFA-13B2-9188-B2A6-C59C2045E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92250" y="6508750"/>
          <a:ext cx="5429250" cy="16172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9</xdr:row>
      <xdr:rowOff>165100</xdr:rowOff>
    </xdr:from>
    <xdr:to>
      <xdr:col>10</xdr:col>
      <xdr:colOff>818227</xdr:colOff>
      <xdr:row>16</xdr:row>
      <xdr:rowOff>165100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E34BFBA-7D05-520A-B407-BC1CB1977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2044700"/>
          <a:ext cx="4685377" cy="128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esidioeuropa.net/blog/wp-content/uploads/2014/05/La-fine-del-TAV-I-maneggi-della-Commissione-europea-Conferenzza-Stampa-14-maggio-2014.pdf" TargetMode="External"/><Relationship Id="rId2" Type="http://schemas.openxmlformats.org/officeDocument/2006/relationships/hyperlink" Target="https://www.presidioeuropa.net/blog/comunicato-stampa-la-fine-del-tav/" TargetMode="External"/><Relationship Id="rId1" Type="http://schemas.openxmlformats.org/officeDocument/2006/relationships/hyperlink" Target="https://www.telt.eu/it/nuovo-finanziamento-ferrovia-bussoleno-avigliana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residioeuropa.net/blog/wp-content/uploads/2024/10/Proposal-SEP-210998132.3334_pages_01.pdf" TargetMode="External"/><Relationship Id="rId1" Type="http://schemas.openxmlformats.org/officeDocument/2006/relationships/hyperlink" Target="https://www.presidioeuropa.net/blog/wp-content/uploads/2024/10/Proposal-SEP-210998132.3334_pages_01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https://www.presidioeuropa.net/blog/wp-content/uploads/2023/01/TELT-Copie-int&#233;grale-des-comptes-annuels-au-2023-12-31-TUNNEL-EURALPIN-LYON-TURIN1.pdf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esidioeuropa.net/blog/wp-content/uploads/2023/01/COMPTES-LTF-2014.pdf" TargetMode="External"/><Relationship Id="rId13" Type="http://schemas.openxmlformats.org/officeDocument/2006/relationships/hyperlink" Target="https://www.presidioeuropa.net/blog/wp-content/uploads/2023/01/COMPTES-TELT-2020-bilan-financier-entreprise-439556952-2020-12-31-C.pdf" TargetMode="External"/><Relationship Id="rId3" Type="http://schemas.openxmlformats.org/officeDocument/2006/relationships/hyperlink" Target="https://www.presidioeuropa.net/blog/wp-content/uploads/2023/01/COMPTES-TELT-2019.pdf" TargetMode="External"/><Relationship Id="rId7" Type="http://schemas.openxmlformats.org/officeDocument/2006/relationships/hyperlink" Target="https://www.presidioeuropa.net/blog/wp-content/uploads/2023/01/COMPTES-TELT-2015.pdf" TargetMode="External"/><Relationship Id="rId12" Type="http://schemas.openxmlformats.org/officeDocument/2006/relationships/hyperlink" Target="https://www.presidioeuropa.net/blog/wp-content/uploads/2023/01/COMPTES-2022.pdf" TargetMode="External"/><Relationship Id="rId2" Type="http://schemas.openxmlformats.org/officeDocument/2006/relationships/hyperlink" Target="https://www.presidioeuropa.net/blog/wp-content/uploads/2023/01/COMPTES-TELT-2021.pdf" TargetMode="External"/><Relationship Id="rId16" Type="http://schemas.openxmlformats.org/officeDocument/2006/relationships/comments" Target="../comments3.xml"/><Relationship Id="rId1" Type="http://schemas.openxmlformats.org/officeDocument/2006/relationships/hyperlink" Target="https://www.presidioeuropa.net/blog/wp-content/uploads/2023/01/TELT-Copie-int&#233;grale-des-comptes-annuels-au-2023-12-31-TUNNEL-EURALPIN-LYON-TURIN1.pdf" TargetMode="External"/><Relationship Id="rId6" Type="http://schemas.openxmlformats.org/officeDocument/2006/relationships/hyperlink" Target="https://www.presidioeuropa.net/blog/wp-content/uploads/2023/01/COMPTES-TELT-2016.pdf" TargetMode="External"/><Relationship Id="rId11" Type="http://schemas.openxmlformats.org/officeDocument/2006/relationships/hyperlink" Target="https://www.presidioeuropa.net/blog/wp-content/uploads/2023/01/LTF-Bilan-31.12.2008.pdf" TargetMode="External"/><Relationship Id="rId5" Type="http://schemas.openxmlformats.org/officeDocument/2006/relationships/hyperlink" Target="https://www.presidioeuropa.net/blog/wp-content/uploads/2023/01/COMPTES-TELT_2017-12-31.pdf" TargetMode="External"/><Relationship Id="rId15" Type="http://schemas.openxmlformats.org/officeDocument/2006/relationships/vmlDrawing" Target="../drawings/vmlDrawing3.vml"/><Relationship Id="rId10" Type="http://schemas.openxmlformats.org/officeDocument/2006/relationships/hyperlink" Target="https://www.presidioeuropa.net/blog/wp-content/uploads/2023/01/LTF-Bilan-31.12.2009.pdf" TargetMode="External"/><Relationship Id="rId4" Type="http://schemas.openxmlformats.org/officeDocument/2006/relationships/hyperlink" Target="https://www.presidioeuropa.net/blog/wp-content/uploads/2023/01/COMPTES-2018.pdf" TargetMode="External"/><Relationship Id="rId9" Type="http://schemas.openxmlformats.org/officeDocument/2006/relationships/hyperlink" Target="https://www.presidioeuropa.net/blog/wp-content/uploads/2023/01/LTF-Bilan-31.12.2011.pdf" TargetMode="External"/><Relationship Id="rId1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19F05-54F1-4C01-871C-AD356D3AD781}">
  <dimension ref="A1:N46"/>
  <sheetViews>
    <sheetView topLeftCell="A13" zoomScale="74" zoomScaleNormal="74" workbookViewId="0">
      <selection activeCell="K43" sqref="K43"/>
    </sheetView>
  </sheetViews>
  <sheetFormatPr defaultRowHeight="14.5" x14ac:dyDescent="0.35"/>
  <cols>
    <col min="1" max="1" width="1.7265625" customWidth="1"/>
    <col min="2" max="2" width="39.6328125" customWidth="1"/>
    <col min="3" max="3" width="2" customWidth="1"/>
    <col min="4" max="4" width="12.453125" customWidth="1"/>
    <col min="5" max="5" width="17.81640625" customWidth="1"/>
    <col min="6" max="6" width="14.54296875" customWidth="1"/>
    <col min="7" max="7" width="19.7265625" customWidth="1"/>
    <col min="8" max="8" width="17.6328125" customWidth="1"/>
    <col min="9" max="9" width="6.90625" customWidth="1"/>
    <col min="10" max="10" width="12" customWidth="1"/>
    <col min="11" max="11" width="17.81640625" customWidth="1"/>
    <col min="12" max="12" width="5.90625" customWidth="1"/>
  </cols>
  <sheetData>
    <row r="1" spans="1:13" x14ac:dyDescent="0.3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1" x14ac:dyDescent="0.35">
      <c r="A2" s="7"/>
      <c r="B2" s="7"/>
      <c r="C2" s="7"/>
      <c r="D2" s="248" t="s">
        <v>67</v>
      </c>
      <c r="E2" s="248"/>
      <c r="F2" s="248"/>
      <c r="G2" s="248"/>
      <c r="H2" s="248"/>
      <c r="I2" s="248"/>
      <c r="J2" s="248"/>
      <c r="K2" s="248"/>
      <c r="L2" s="248"/>
      <c r="M2" s="7"/>
    </row>
    <row r="3" spans="1:13" ht="15" thickBot="1" x14ac:dyDescent="0.4">
      <c r="A3" s="7"/>
      <c r="B3" s="7"/>
      <c r="C3" s="7"/>
      <c r="D3" s="12" t="s">
        <v>0</v>
      </c>
      <c r="E3" s="12" t="s">
        <v>1</v>
      </c>
      <c r="F3" s="12" t="s">
        <v>2</v>
      </c>
      <c r="G3" s="12" t="s">
        <v>3</v>
      </c>
      <c r="H3" s="12" t="s">
        <v>15</v>
      </c>
      <c r="I3" s="12" t="s">
        <v>16</v>
      </c>
      <c r="J3" s="12" t="s">
        <v>17</v>
      </c>
      <c r="K3" s="12" t="s">
        <v>18</v>
      </c>
      <c r="L3" s="8"/>
      <c r="M3" s="7"/>
    </row>
    <row r="4" spans="1:13" ht="44" thickBot="1" x14ac:dyDescent="0.4">
      <c r="A4" s="7"/>
      <c r="B4" s="13" t="s">
        <v>114</v>
      </c>
      <c r="C4" s="7"/>
      <c r="D4" s="2" t="s">
        <v>66</v>
      </c>
      <c r="E4" s="3" t="s">
        <v>22</v>
      </c>
      <c r="F4" s="3" t="s">
        <v>20</v>
      </c>
      <c r="G4" s="3" t="s">
        <v>7</v>
      </c>
      <c r="H4" s="4" t="s">
        <v>68</v>
      </c>
      <c r="I4" s="2" t="s">
        <v>14</v>
      </c>
      <c r="J4" s="3" t="s">
        <v>64</v>
      </c>
      <c r="K4" s="3" t="s">
        <v>21</v>
      </c>
      <c r="L4" s="13" t="s">
        <v>4</v>
      </c>
      <c r="M4" s="7"/>
    </row>
    <row r="5" spans="1:13" ht="14.5" customHeight="1" x14ac:dyDescent="0.35">
      <c r="A5" s="7"/>
      <c r="B5" s="199" t="s">
        <v>128</v>
      </c>
      <c r="C5" s="7"/>
      <c r="D5" s="48" t="s">
        <v>36</v>
      </c>
      <c r="E5" s="66">
        <f>+H19</f>
        <v>174940000</v>
      </c>
      <c r="F5" s="68" t="s">
        <v>36</v>
      </c>
      <c r="G5" s="54">
        <f>+E5*2</f>
        <v>349880000</v>
      </c>
      <c r="H5" s="61">
        <f t="shared" ref="H5:H11" si="0">+G5/I5</f>
        <v>58313333.333333336</v>
      </c>
      <c r="I5" s="75">
        <v>6</v>
      </c>
      <c r="J5" s="82">
        <f>+E5/G5</f>
        <v>0.5</v>
      </c>
      <c r="K5" s="9">
        <f>+E5/I5</f>
        <v>29156666.666666668</v>
      </c>
      <c r="L5" s="86"/>
      <c r="M5" s="7"/>
    </row>
    <row r="6" spans="1:13" x14ac:dyDescent="0.35">
      <c r="A6" s="7"/>
      <c r="B6" s="196" t="s">
        <v>126</v>
      </c>
      <c r="C6" s="7"/>
      <c r="D6" s="46" t="s">
        <v>11</v>
      </c>
      <c r="E6" s="67">
        <f>+H20</f>
        <v>235620000</v>
      </c>
      <c r="F6" s="69" t="s">
        <v>5</v>
      </c>
      <c r="G6" s="55">
        <v>489000000</v>
      </c>
      <c r="H6" s="61">
        <f t="shared" si="0"/>
        <v>61125000</v>
      </c>
      <c r="I6" s="76">
        <v>8</v>
      </c>
      <c r="J6" s="83">
        <f t="shared" ref="J6:J8" si="1">+E6/G6</f>
        <v>0.48184049079754604</v>
      </c>
      <c r="K6" s="47">
        <f>+E6/I6</f>
        <v>29452500</v>
      </c>
      <c r="L6" s="88"/>
      <c r="M6" s="7"/>
    </row>
    <row r="7" spans="1:13" x14ac:dyDescent="0.35">
      <c r="A7" s="7"/>
      <c r="B7" s="196" t="s">
        <v>127</v>
      </c>
      <c r="C7" s="7"/>
      <c r="D7" s="10" t="s">
        <v>13</v>
      </c>
      <c r="E7" s="56">
        <f>+H21</f>
        <v>813781900</v>
      </c>
      <c r="F7" s="70" t="s">
        <v>63</v>
      </c>
      <c r="G7" s="56">
        <v>1915054250</v>
      </c>
      <c r="H7" s="62">
        <f t="shared" si="0"/>
        <v>208839067.61177754</v>
      </c>
      <c r="I7" s="80">
        <v>9.17</v>
      </c>
      <c r="J7" s="83">
        <f t="shared" si="1"/>
        <v>0.42493934571305225</v>
      </c>
      <c r="K7" s="11">
        <f t="shared" ref="K7:K11" si="2">+E7/I7</f>
        <v>88743936.750272632</v>
      </c>
      <c r="L7" s="88"/>
      <c r="M7" s="7"/>
    </row>
    <row r="8" spans="1:13" x14ac:dyDescent="0.35">
      <c r="A8" s="7"/>
      <c r="B8" s="196" t="s">
        <v>136</v>
      </c>
      <c r="C8" s="7"/>
      <c r="D8" s="250" t="s">
        <v>12</v>
      </c>
      <c r="E8" s="57">
        <v>40500000</v>
      </c>
      <c r="F8" s="71" t="s">
        <v>69</v>
      </c>
      <c r="G8" s="57">
        <f>+E8/50*100</f>
        <v>81000000</v>
      </c>
      <c r="H8" s="62">
        <f t="shared" si="0"/>
        <v>97590361.445783138</v>
      </c>
      <c r="I8" s="81">
        <v>0.83</v>
      </c>
      <c r="J8" s="252">
        <f t="shared" si="1"/>
        <v>0.5</v>
      </c>
      <c r="K8" s="254">
        <f>+(E8+E9)/(I8+I9)</f>
        <v>153312629.39958593</v>
      </c>
      <c r="L8" s="88"/>
      <c r="M8" s="7"/>
    </row>
    <row r="9" spans="1:13" x14ac:dyDescent="0.35">
      <c r="A9" s="7"/>
      <c r="B9" s="196" t="s">
        <v>137</v>
      </c>
      <c r="C9" s="7"/>
      <c r="D9" s="251"/>
      <c r="E9" s="58">
        <f>700000000</f>
        <v>700000000</v>
      </c>
      <c r="F9" s="72" t="s">
        <v>6</v>
      </c>
      <c r="G9" s="58">
        <f>+E9/50*100</f>
        <v>1400000000</v>
      </c>
      <c r="H9" s="63">
        <f t="shared" si="0"/>
        <v>350000000</v>
      </c>
      <c r="I9" s="77">
        <v>4</v>
      </c>
      <c r="J9" s="253"/>
      <c r="K9" s="251"/>
      <c r="L9" s="89"/>
      <c r="M9" s="7"/>
    </row>
    <row r="10" spans="1:13" ht="15" thickBot="1" x14ac:dyDescent="0.4">
      <c r="A10" s="7"/>
      <c r="B10" s="196" t="s">
        <v>129</v>
      </c>
      <c r="C10" s="7"/>
      <c r="D10" s="18" t="s">
        <v>40</v>
      </c>
      <c r="E10" s="59">
        <f>+G10/2</f>
        <v>3432875000</v>
      </c>
      <c r="F10" s="73" t="s">
        <v>39</v>
      </c>
      <c r="G10" s="59">
        <v>6865750000</v>
      </c>
      <c r="H10" s="64">
        <f t="shared" si="0"/>
        <v>1373150000</v>
      </c>
      <c r="I10" s="78">
        <v>5</v>
      </c>
      <c r="J10" s="84">
        <f>+E10/G10</f>
        <v>0.5</v>
      </c>
      <c r="K10" s="53">
        <f t="shared" si="2"/>
        <v>686575000</v>
      </c>
      <c r="L10" s="90"/>
      <c r="M10" s="7"/>
    </row>
    <row r="11" spans="1:13" ht="19" thickBot="1" x14ac:dyDescent="0.5">
      <c r="A11" s="7"/>
      <c r="B11" s="197" t="s">
        <v>82</v>
      </c>
      <c r="C11" s="7"/>
      <c r="D11" s="15" t="s">
        <v>19</v>
      </c>
      <c r="E11" s="60">
        <f>SUM(E5:E10)</f>
        <v>5397716900</v>
      </c>
      <c r="F11" s="74" t="s">
        <v>65</v>
      </c>
      <c r="G11" s="60">
        <v>11100000000</v>
      </c>
      <c r="H11" s="65">
        <f t="shared" si="0"/>
        <v>336363636.36363637</v>
      </c>
      <c r="I11" s="79">
        <f>SUM(I5:I10)</f>
        <v>33</v>
      </c>
      <c r="J11" s="85">
        <f>+E11/G11</f>
        <v>0.48628080180180178</v>
      </c>
      <c r="K11" s="16">
        <f t="shared" si="2"/>
        <v>163567178.78787878</v>
      </c>
      <c r="L11" s="87"/>
      <c r="M11" s="7"/>
    </row>
    <row r="12" spans="1:13" ht="15" thickBot="1" x14ac:dyDescent="0.4">
      <c r="A12" s="7"/>
      <c r="B12" s="198" t="s">
        <v>83</v>
      </c>
      <c r="C12" s="7"/>
      <c r="D12" s="7" t="s">
        <v>125</v>
      </c>
      <c r="E12" s="7"/>
      <c r="F12" s="7"/>
      <c r="G12" s="7"/>
      <c r="H12" s="7"/>
      <c r="I12" s="7"/>
      <c r="J12" s="7"/>
      <c r="K12" s="7"/>
      <c r="L12" s="135"/>
      <c r="M12" s="7"/>
    </row>
    <row r="13" spans="1:13" x14ac:dyDescent="0.35">
      <c r="A13" s="7"/>
      <c r="B13" s="200" t="s">
        <v>131</v>
      </c>
      <c r="C13" s="7"/>
      <c r="D13" s="51"/>
      <c r="E13" s="52"/>
      <c r="F13" s="103" t="s">
        <v>70</v>
      </c>
      <c r="G13" s="94">
        <f>+Immobilizzazioni!I26</f>
        <v>2795922773</v>
      </c>
      <c r="H13" s="44"/>
      <c r="I13" s="7"/>
      <c r="J13" s="7"/>
      <c r="K13" s="7"/>
      <c r="L13" s="7"/>
      <c r="M13" s="7"/>
    </row>
    <row r="14" spans="1:13" x14ac:dyDescent="0.35">
      <c r="A14" s="7"/>
      <c r="B14" s="201" t="s">
        <v>130</v>
      </c>
      <c r="D14" s="95"/>
      <c r="E14" s="96"/>
      <c r="F14" s="97" t="s">
        <v>115</v>
      </c>
      <c r="G14" s="98">
        <f>+G5+G6+G7</f>
        <v>2753934250</v>
      </c>
      <c r="H14" s="126"/>
      <c r="I14" s="7"/>
      <c r="J14" s="44"/>
      <c r="K14" s="7"/>
      <c r="L14" s="7"/>
      <c r="M14" s="7"/>
    </row>
    <row r="15" spans="1:13" ht="15" thickBot="1" x14ac:dyDescent="0.4">
      <c r="A15" s="7"/>
      <c r="B15" s="201" t="s">
        <v>132</v>
      </c>
      <c r="C15" s="7"/>
      <c r="D15" s="99"/>
      <c r="E15" s="100"/>
      <c r="F15" s="102" t="s">
        <v>71</v>
      </c>
      <c r="G15" s="101">
        <f>+G13-G14</f>
        <v>41988523</v>
      </c>
      <c r="H15" s="126"/>
      <c r="I15" s="7"/>
      <c r="J15" s="44"/>
      <c r="K15" s="7"/>
      <c r="L15" s="7"/>
    </row>
    <row r="16" spans="1:13" ht="15" thickBot="1" x14ac:dyDescent="0.4">
      <c r="A16" s="7"/>
      <c r="B16" s="201" t="s">
        <v>133</v>
      </c>
      <c r="C16" s="7"/>
      <c r="D16" s="7"/>
      <c r="E16" s="7"/>
      <c r="F16" s="45"/>
      <c r="G16" s="92"/>
      <c r="H16" s="7"/>
      <c r="I16" s="7"/>
      <c r="J16" s="44"/>
      <c r="K16" s="7"/>
      <c r="L16" s="7"/>
    </row>
    <row r="17" spans="1:12" ht="15" thickBot="1" x14ac:dyDescent="0.4">
      <c r="A17" s="7"/>
      <c r="B17" s="201" t="s">
        <v>135</v>
      </c>
      <c r="C17" s="7"/>
      <c r="D17" s="7"/>
      <c r="E17" s="247" t="s">
        <v>143</v>
      </c>
      <c r="F17" s="249"/>
      <c r="G17" s="249"/>
      <c r="H17" s="249"/>
      <c r="I17" s="91" t="s">
        <v>78</v>
      </c>
      <c r="J17" s="117"/>
      <c r="K17" s="7"/>
      <c r="L17" s="7"/>
    </row>
    <row r="18" spans="1:12" ht="15" thickBot="1" x14ac:dyDescent="0.4">
      <c r="A18" s="7"/>
      <c r="B18" s="202" t="s">
        <v>134</v>
      </c>
      <c r="C18" s="7"/>
      <c r="D18" s="7"/>
      <c r="E18" s="22" t="s">
        <v>30</v>
      </c>
      <c r="F18" s="23" t="s">
        <v>32</v>
      </c>
      <c r="G18" s="23" t="s">
        <v>33</v>
      </c>
      <c r="H18" s="24" t="s">
        <v>34</v>
      </c>
      <c r="I18" s="127" t="s">
        <v>76</v>
      </c>
      <c r="J18" s="128" t="s">
        <v>77</v>
      </c>
      <c r="K18" s="7"/>
      <c r="L18" s="7"/>
    </row>
    <row r="19" spans="1:12" x14ac:dyDescent="0.35">
      <c r="A19" s="7"/>
      <c r="B19" s="175"/>
      <c r="C19" s="7"/>
      <c r="D19" s="7"/>
      <c r="E19" s="39" t="s">
        <v>31</v>
      </c>
      <c r="F19" s="110">
        <v>87470000</v>
      </c>
      <c r="G19" s="110">
        <v>87470000</v>
      </c>
      <c r="H19" s="104">
        <f>+G19+F19</f>
        <v>174940000</v>
      </c>
      <c r="I19" s="129">
        <f>+F19/H19*100</f>
        <v>50</v>
      </c>
      <c r="J19" s="130">
        <f>+G19/H19*100</f>
        <v>50</v>
      </c>
      <c r="K19" s="7"/>
      <c r="L19" s="7"/>
    </row>
    <row r="20" spans="1:12" x14ac:dyDescent="0.35">
      <c r="A20" s="7"/>
      <c r="B20" s="7"/>
      <c r="C20" s="7"/>
      <c r="D20" s="7"/>
      <c r="E20" s="40" t="s">
        <v>8</v>
      </c>
      <c r="F20" s="111">
        <v>108820000</v>
      </c>
      <c r="G20" s="111">
        <v>126800000</v>
      </c>
      <c r="H20" s="105">
        <f>+G20+F20</f>
        <v>235620000</v>
      </c>
      <c r="I20" s="131">
        <f t="shared" ref="I20:I21" si="3">+F20/H20*100</f>
        <v>46.184534419828537</v>
      </c>
      <c r="J20" s="132">
        <f t="shared" ref="J20:J21" si="4">+G20/H20*100</f>
        <v>53.815465580171463</v>
      </c>
      <c r="K20" s="7"/>
      <c r="L20" s="7"/>
    </row>
    <row r="21" spans="1:12" ht="15" thickBot="1" x14ac:dyDescent="0.4">
      <c r="A21" s="7"/>
      <c r="B21" s="7"/>
      <c r="C21" s="7"/>
      <c r="D21" s="7"/>
      <c r="E21" s="41" t="s">
        <v>9</v>
      </c>
      <c r="F21" s="112">
        <v>364995786</v>
      </c>
      <c r="G21" s="112">
        <v>448786114</v>
      </c>
      <c r="H21" s="106">
        <f>+G21+F21</f>
        <v>813781900</v>
      </c>
      <c r="I21" s="133">
        <f t="shared" si="3"/>
        <v>44.851794565595526</v>
      </c>
      <c r="J21" s="134">
        <f t="shared" si="4"/>
        <v>55.148205434404474</v>
      </c>
      <c r="K21" s="7"/>
      <c r="L21" s="7"/>
    </row>
    <row r="22" spans="1:12" ht="15" thickBot="1" x14ac:dyDescent="0.4">
      <c r="A22" s="7"/>
      <c r="B22" s="7"/>
      <c r="C22" s="7"/>
      <c r="D22" s="7"/>
      <c r="E22" s="42" t="s">
        <v>72</v>
      </c>
      <c r="F22" s="113">
        <f>SUM(F19:F21)</f>
        <v>561285786</v>
      </c>
      <c r="G22" s="113">
        <f>SUM(G19:G21)</f>
        <v>663056114</v>
      </c>
      <c r="H22" s="107">
        <f>+G22+F22</f>
        <v>1224341900</v>
      </c>
      <c r="I22" s="44"/>
      <c r="J22" s="115"/>
      <c r="K22" s="7"/>
      <c r="L22" s="7"/>
    </row>
    <row r="23" spans="1:12" ht="15" thickBot="1" x14ac:dyDescent="0.4">
      <c r="A23" s="7"/>
      <c r="B23" s="7"/>
      <c r="C23" s="7"/>
      <c r="D23" s="7"/>
      <c r="E23" s="43" t="s">
        <v>10</v>
      </c>
      <c r="F23" s="114"/>
      <c r="G23" s="114"/>
      <c r="H23" s="108">
        <v>40500000</v>
      </c>
      <c r="I23" s="7"/>
      <c r="J23" s="7"/>
      <c r="K23" s="7"/>
      <c r="L23" s="7"/>
    </row>
    <row r="24" spans="1:12" ht="15" thickBot="1" x14ac:dyDescent="0.4">
      <c r="A24" s="7"/>
      <c r="B24" s="7"/>
      <c r="C24" s="7"/>
      <c r="D24" s="7"/>
      <c r="E24" s="7"/>
      <c r="F24" s="31"/>
      <c r="G24" s="31"/>
      <c r="H24" s="109">
        <f>+H23+H22</f>
        <v>1264841900</v>
      </c>
      <c r="I24" s="7"/>
      <c r="J24" s="7"/>
      <c r="K24" s="7"/>
      <c r="L24" s="7"/>
    </row>
    <row r="25" spans="1:12" ht="15" thickBot="1" x14ac:dyDescent="0.4">
      <c r="A25" s="7"/>
      <c r="B25" s="7"/>
      <c r="C25" s="7"/>
      <c r="D25" s="7"/>
      <c r="E25" s="7"/>
      <c r="F25" s="212" t="s">
        <v>147</v>
      </c>
      <c r="G25" s="7"/>
      <c r="H25" s="92"/>
      <c r="I25" s="7"/>
      <c r="J25" s="7"/>
      <c r="K25" s="7"/>
      <c r="L25" s="7"/>
    </row>
    <row r="26" spans="1:12" ht="15" thickBot="1" x14ac:dyDescent="0.4">
      <c r="A26" s="7"/>
      <c r="B26" s="7"/>
      <c r="C26" s="7"/>
      <c r="D26" s="7"/>
      <c r="E26" s="91" t="s">
        <v>144</v>
      </c>
      <c r="F26" s="20">
        <f>919.14+1142.4</f>
        <v>2061.54</v>
      </c>
      <c r="G26" s="211" t="s">
        <v>140</v>
      </c>
      <c r="H26" s="92"/>
      <c r="I26" s="7"/>
      <c r="J26" s="7"/>
      <c r="K26" s="7"/>
      <c r="L26" s="7"/>
    </row>
    <row r="27" spans="1:12" ht="15" thickBot="1" x14ac:dyDescent="0.4">
      <c r="A27" s="7"/>
      <c r="B27" s="7"/>
      <c r="C27" s="7"/>
      <c r="D27" s="7"/>
      <c r="E27" s="116"/>
      <c r="F27" s="20"/>
      <c r="G27" s="20"/>
      <c r="H27" s="92"/>
      <c r="I27" s="7"/>
      <c r="J27" s="7"/>
      <c r="K27" s="7"/>
      <c r="L27" s="7"/>
    </row>
    <row r="28" spans="1:12" ht="15" thickBot="1" x14ac:dyDescent="0.4">
      <c r="A28" s="7"/>
      <c r="B28" s="7"/>
      <c r="C28" s="7"/>
      <c r="D28" s="7"/>
      <c r="E28" s="91" t="s">
        <v>145</v>
      </c>
      <c r="F28" s="20">
        <f>544.7+628.33</f>
        <v>1173.0300000000002</v>
      </c>
      <c r="G28" s="211" t="s">
        <v>140</v>
      </c>
      <c r="H28" s="92"/>
      <c r="I28" s="7"/>
      <c r="J28" s="7"/>
      <c r="K28" s="7"/>
      <c r="L28" s="7"/>
    </row>
    <row r="29" spans="1:12" ht="15" thickBot="1" x14ac:dyDescent="0.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5" thickBot="1" x14ac:dyDescent="0.4">
      <c r="A30" s="7"/>
      <c r="B30" s="7"/>
      <c r="C30" s="7"/>
      <c r="D30" s="7"/>
      <c r="E30" s="22" t="s">
        <v>146</v>
      </c>
      <c r="F30" s="20">
        <f>+F28+F26</f>
        <v>3234.57</v>
      </c>
      <c r="G30" s="211" t="s">
        <v>140</v>
      </c>
      <c r="H30" s="7"/>
      <c r="I30" s="7"/>
      <c r="J30" s="7"/>
      <c r="K30" s="7"/>
      <c r="L30" s="7"/>
    </row>
    <row r="31" spans="1:12" x14ac:dyDescent="0.35">
      <c r="A31" s="7"/>
      <c r="B31" s="7"/>
      <c r="C31" s="7"/>
      <c r="D31" s="7"/>
      <c r="E31" s="7"/>
      <c r="F31" s="44"/>
      <c r="G31" s="7"/>
      <c r="H31" s="7"/>
      <c r="I31" s="7"/>
      <c r="J31" s="7"/>
      <c r="K31" s="7"/>
      <c r="L31" s="7"/>
    </row>
    <row r="32" spans="1:12" ht="15" thickBot="1" x14ac:dyDescent="0.4">
      <c r="A32" s="7"/>
      <c r="B32" s="7"/>
      <c r="C32" s="7"/>
      <c r="D32" s="7"/>
      <c r="E32" s="247" t="s">
        <v>138</v>
      </c>
      <c r="F32" s="247"/>
      <c r="G32" s="247"/>
      <c r="H32" s="247"/>
      <c r="I32" s="8"/>
      <c r="J32" s="7"/>
      <c r="K32" s="7"/>
      <c r="L32" s="7"/>
    </row>
    <row r="33" spans="1:14" ht="15" thickBot="1" x14ac:dyDescent="0.4">
      <c r="A33" s="7"/>
      <c r="B33" s="7"/>
      <c r="C33" s="7"/>
      <c r="D33" s="7"/>
      <c r="E33" s="205" t="s">
        <v>30</v>
      </c>
      <c r="F33" s="206" t="s">
        <v>32</v>
      </c>
      <c r="G33" s="206" t="s">
        <v>33</v>
      </c>
      <c r="H33" s="207" t="s">
        <v>34</v>
      </c>
      <c r="I33" s="7"/>
      <c r="J33" s="7"/>
      <c r="K33" s="7"/>
      <c r="L33" s="7"/>
    </row>
    <row r="34" spans="1:14" ht="15" thickBot="1" x14ac:dyDescent="0.4">
      <c r="A34" s="7"/>
      <c r="B34" s="7"/>
      <c r="C34" s="7"/>
      <c r="D34" s="7"/>
      <c r="E34" s="208" t="s">
        <v>139</v>
      </c>
      <c r="F34" s="209">
        <v>919.14</v>
      </c>
      <c r="G34" s="209">
        <v>1142.4000000000001</v>
      </c>
      <c r="H34" s="210">
        <f>+G34+F34</f>
        <v>2061.54</v>
      </c>
      <c r="I34" s="7"/>
      <c r="J34" s="7"/>
      <c r="K34" s="7"/>
      <c r="L34" s="7"/>
    </row>
    <row r="35" spans="1:14" ht="15" thickBot="1" x14ac:dyDescent="0.4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4" ht="15" thickBot="1" x14ac:dyDescent="0.4">
      <c r="A36" s="7"/>
      <c r="B36" s="7"/>
      <c r="C36" s="7"/>
      <c r="D36" s="7"/>
      <c r="E36" s="7"/>
      <c r="F36" s="31"/>
      <c r="G36" s="31"/>
      <c r="H36" s="31"/>
      <c r="I36" s="44"/>
      <c r="J36" s="7"/>
      <c r="K36" s="226">
        <v>919.14</v>
      </c>
      <c r="L36" s="227">
        <v>1</v>
      </c>
      <c r="M36" s="228"/>
      <c r="N36" s="229"/>
    </row>
    <row r="37" spans="1:14" ht="15" thickBot="1" x14ac:dyDescent="0.4">
      <c r="A37" s="7"/>
      <c r="B37" s="7"/>
      <c r="C37" s="7"/>
      <c r="D37" s="7"/>
      <c r="E37" s="91" t="s">
        <v>79</v>
      </c>
      <c r="F37" s="20" t="s">
        <v>73</v>
      </c>
      <c r="G37" s="116" t="s">
        <v>74</v>
      </c>
      <c r="H37" s="117"/>
      <c r="I37" s="7"/>
      <c r="J37" s="7"/>
      <c r="K37" s="230">
        <v>1142.4000000000001</v>
      </c>
      <c r="L37" s="231">
        <v>2</v>
      </c>
      <c r="M37" s="232"/>
      <c r="N37" s="233"/>
    </row>
    <row r="38" spans="1:14" x14ac:dyDescent="0.35">
      <c r="A38" s="7"/>
      <c r="B38" s="7"/>
      <c r="C38" s="7"/>
      <c r="D38" s="7"/>
      <c r="E38" s="118"/>
      <c r="F38" s="119">
        <v>10</v>
      </c>
      <c r="G38" s="93" t="s">
        <v>81</v>
      </c>
      <c r="H38" s="120"/>
      <c r="I38" s="7"/>
      <c r="J38" s="7"/>
      <c r="K38" s="230">
        <v>544.70000000000005</v>
      </c>
      <c r="L38" s="231">
        <v>3</v>
      </c>
      <c r="M38" s="234" t="s">
        <v>141</v>
      </c>
      <c r="N38" s="233"/>
    </row>
    <row r="39" spans="1:14" x14ac:dyDescent="0.35">
      <c r="A39" s="7"/>
      <c r="B39" s="7"/>
      <c r="C39" s="7"/>
      <c r="D39" s="7"/>
      <c r="E39" s="95"/>
      <c r="F39" s="121">
        <v>14</v>
      </c>
      <c r="G39" s="122" t="s">
        <v>75</v>
      </c>
      <c r="H39" s="123"/>
      <c r="I39" s="7"/>
      <c r="J39" s="7"/>
      <c r="K39" s="230">
        <v>628.33000000000004</v>
      </c>
      <c r="L39" s="231">
        <v>4</v>
      </c>
      <c r="M39" s="234">
        <f>+K36+K37+K38+K39</f>
        <v>3234.5699999999997</v>
      </c>
      <c r="N39" s="233"/>
    </row>
    <row r="40" spans="1:14" x14ac:dyDescent="0.35">
      <c r="A40" s="7"/>
      <c r="B40" s="7"/>
      <c r="C40" s="7"/>
      <c r="D40" s="7"/>
      <c r="E40" s="176">
        <v>117229211</v>
      </c>
      <c r="F40" s="121">
        <v>16</v>
      </c>
      <c r="G40" s="122" t="s">
        <v>60</v>
      </c>
      <c r="H40" s="123"/>
      <c r="I40" s="7"/>
      <c r="J40" s="7"/>
      <c r="K40" s="230"/>
      <c r="L40" s="232"/>
      <c r="M40" s="232"/>
      <c r="N40" s="233"/>
    </row>
    <row r="41" spans="1:14" x14ac:dyDescent="0.35">
      <c r="A41" s="7"/>
      <c r="B41" s="7"/>
      <c r="C41" s="7"/>
      <c r="D41" s="7"/>
      <c r="E41" s="95"/>
      <c r="F41" s="121">
        <v>20</v>
      </c>
      <c r="G41" s="122" t="s">
        <v>62</v>
      </c>
      <c r="H41" s="123"/>
      <c r="I41" s="7"/>
      <c r="J41" s="7"/>
      <c r="K41" s="230"/>
      <c r="L41" s="232"/>
      <c r="M41" s="234" t="s">
        <v>142</v>
      </c>
      <c r="N41" s="233"/>
    </row>
    <row r="42" spans="1:14" x14ac:dyDescent="0.35">
      <c r="A42" s="7"/>
      <c r="B42" s="7"/>
      <c r="C42" s="7"/>
      <c r="D42" s="7"/>
      <c r="E42" s="95"/>
      <c r="F42" s="121">
        <v>25</v>
      </c>
      <c r="G42" s="122" t="s">
        <v>80</v>
      </c>
      <c r="H42" s="123"/>
      <c r="I42" s="7"/>
      <c r="J42" s="49"/>
      <c r="K42" s="230">
        <v>38.74</v>
      </c>
      <c r="L42" s="231">
        <v>5</v>
      </c>
      <c r="M42" s="234">
        <f>SUM(K36:K42)</f>
        <v>3273.3099999999995</v>
      </c>
      <c r="N42" s="233"/>
    </row>
    <row r="43" spans="1:14" ht="15" thickBot="1" x14ac:dyDescent="0.4">
      <c r="A43" s="7"/>
      <c r="B43" s="7"/>
      <c r="C43" s="7"/>
      <c r="D43" s="7"/>
      <c r="E43" s="99"/>
      <c r="F43" s="124">
        <v>26</v>
      </c>
      <c r="G43" s="100" t="s">
        <v>61</v>
      </c>
      <c r="H43" s="125"/>
      <c r="I43" s="7"/>
      <c r="J43" s="7"/>
      <c r="K43" s="235"/>
      <c r="L43" s="236"/>
      <c r="M43" s="236"/>
      <c r="N43" s="237"/>
    </row>
    <row r="44" spans="1:14" x14ac:dyDescent="0.35">
      <c r="A44" s="7"/>
      <c r="B44" s="7"/>
      <c r="C44" s="7"/>
      <c r="D44" s="7"/>
      <c r="E44" s="7"/>
      <c r="F44" s="8"/>
      <c r="G44" s="7"/>
      <c r="H44" s="7"/>
      <c r="I44" s="7"/>
      <c r="J44" s="7"/>
    </row>
    <row r="45" spans="1:14" x14ac:dyDescent="0.35">
      <c r="A45" s="7"/>
      <c r="B45" s="7"/>
      <c r="C45" s="7"/>
      <c r="D45" s="7"/>
      <c r="E45" s="6" t="s">
        <v>41</v>
      </c>
      <c r="F45" s="7"/>
      <c r="G45" s="7"/>
      <c r="H45" s="7"/>
      <c r="I45" s="7"/>
      <c r="J45" s="7"/>
    </row>
    <row r="46" spans="1:14" x14ac:dyDescent="0.35">
      <c r="A46" s="7"/>
      <c r="B46" s="7"/>
      <c r="C46" s="7"/>
      <c r="D46" s="7"/>
      <c r="E46" s="7" t="s">
        <v>42</v>
      </c>
      <c r="F46" s="203"/>
      <c r="G46" s="204"/>
      <c r="H46" s="204"/>
      <c r="I46" s="204"/>
    </row>
  </sheetData>
  <mergeCells count="6">
    <mergeCell ref="E32:H32"/>
    <mergeCell ref="D2:L2"/>
    <mergeCell ref="E17:H17"/>
    <mergeCell ref="D8:D9"/>
    <mergeCell ref="J8:J9"/>
    <mergeCell ref="K8:K9"/>
  </mergeCells>
  <hyperlinks>
    <hyperlink ref="E45" r:id="rId1" xr:uid="{37549665-D042-47C9-9B5E-783A49FC55D8}"/>
    <hyperlink ref="B11" r:id="rId2" xr:uid="{9EBF5217-85BA-4F0B-A183-01E70FBE064F}"/>
    <hyperlink ref="B12" r:id="rId3" xr:uid="{F828BCF4-10B0-46B0-88D1-24ABBB46D1A5}"/>
  </hyperlinks>
  <pageMargins left="0.7" right="0.7" top="0.75" bottom="0.75" header="0.3" footer="0.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9CB11-4F39-4C94-BB38-7AADF5677CC4}">
  <dimension ref="A1:H22"/>
  <sheetViews>
    <sheetView topLeftCell="A7" workbookViewId="0">
      <selection activeCell="C21" sqref="C21"/>
    </sheetView>
  </sheetViews>
  <sheetFormatPr defaultRowHeight="14.5" x14ac:dyDescent="0.35"/>
  <cols>
    <col min="1" max="1" width="1.90625" customWidth="1"/>
    <col min="2" max="2" width="4.26953125" style="1" customWidth="1"/>
    <col min="3" max="3" width="58.90625" customWidth="1"/>
    <col min="4" max="4" width="16.1796875" style="1" customWidth="1"/>
    <col min="5" max="5" width="13.81640625" style="1" customWidth="1"/>
    <col min="6" max="6" width="5.1796875" style="1" customWidth="1"/>
    <col min="8" max="8" width="15.7265625" customWidth="1"/>
  </cols>
  <sheetData>
    <row r="1" spans="1:8" x14ac:dyDescent="0.35">
      <c r="A1" s="7"/>
      <c r="B1" s="8"/>
      <c r="C1" s="7"/>
      <c r="D1" s="8"/>
      <c r="E1" s="8"/>
      <c r="F1" s="8"/>
    </row>
    <row r="2" spans="1:8" ht="21" x14ac:dyDescent="0.35">
      <c r="A2" s="7"/>
      <c r="B2" s="8"/>
      <c r="C2" s="193" t="s">
        <v>123</v>
      </c>
      <c r="D2" s="8"/>
      <c r="E2" s="8"/>
      <c r="F2" s="8"/>
      <c r="G2" s="7"/>
    </row>
    <row r="3" spans="1:8" ht="15" thickBot="1" x14ac:dyDescent="0.4">
      <c r="A3" s="7"/>
      <c r="B3" s="8"/>
      <c r="C3" s="7"/>
      <c r="D3" s="8"/>
      <c r="E3" s="8"/>
      <c r="F3" s="8"/>
      <c r="G3" s="7"/>
    </row>
    <row r="4" spans="1:8" ht="29.5" thickBot="1" x14ac:dyDescent="0.4">
      <c r="A4" s="7"/>
      <c r="B4" s="139" t="s">
        <v>43</v>
      </c>
      <c r="C4" s="140" t="s">
        <v>107</v>
      </c>
      <c r="D4" s="140" t="s">
        <v>45</v>
      </c>
      <c r="E4" s="140" t="s">
        <v>44</v>
      </c>
      <c r="F4" s="192" t="s">
        <v>47</v>
      </c>
      <c r="G4" s="7"/>
    </row>
    <row r="5" spans="1:8" x14ac:dyDescent="0.35">
      <c r="A5" s="7"/>
      <c r="B5" s="179">
        <v>1</v>
      </c>
      <c r="C5" s="183" t="s">
        <v>46</v>
      </c>
      <c r="D5" s="184">
        <v>41225741</v>
      </c>
      <c r="E5" s="184">
        <v>20612871</v>
      </c>
      <c r="F5" s="185">
        <f>+E5/D5*100</f>
        <v>50.000001212834476</v>
      </c>
      <c r="G5" s="7"/>
    </row>
    <row r="6" spans="1:8" x14ac:dyDescent="0.35">
      <c r="A6" s="7"/>
      <c r="B6" s="180">
        <f>1+B5</f>
        <v>2</v>
      </c>
      <c r="C6" s="186" t="s">
        <v>49</v>
      </c>
      <c r="D6" s="153">
        <v>177872672</v>
      </c>
      <c r="E6" s="153">
        <v>88936336</v>
      </c>
      <c r="F6" s="187">
        <f t="shared" ref="F6:F17" si="0">+E6/D6*100</f>
        <v>50</v>
      </c>
      <c r="G6" s="7"/>
    </row>
    <row r="7" spans="1:8" x14ac:dyDescent="0.35">
      <c r="A7" s="7"/>
      <c r="B7" s="180">
        <f t="shared" ref="B7:B16" si="1">1+B6</f>
        <v>3</v>
      </c>
      <c r="C7" s="186" t="s">
        <v>48</v>
      </c>
      <c r="D7" s="153">
        <v>729503408</v>
      </c>
      <c r="E7" s="153">
        <v>364751704</v>
      </c>
      <c r="F7" s="187">
        <f t="shared" si="0"/>
        <v>50</v>
      </c>
      <c r="G7" s="7"/>
    </row>
    <row r="8" spans="1:8" x14ac:dyDescent="0.35">
      <c r="A8" s="7"/>
      <c r="B8" s="180">
        <f t="shared" si="1"/>
        <v>4</v>
      </c>
      <c r="C8" s="188" t="s">
        <v>51</v>
      </c>
      <c r="D8" s="153">
        <v>775799618</v>
      </c>
      <c r="E8" s="153">
        <v>387899809</v>
      </c>
      <c r="F8" s="187">
        <f t="shared" si="0"/>
        <v>50</v>
      </c>
      <c r="G8" s="7"/>
    </row>
    <row r="9" spans="1:8" x14ac:dyDescent="0.35">
      <c r="A9" s="7"/>
      <c r="B9" s="180">
        <f t="shared" si="1"/>
        <v>5</v>
      </c>
      <c r="C9" s="186" t="s">
        <v>52</v>
      </c>
      <c r="D9" s="153">
        <v>1629864897</v>
      </c>
      <c r="E9" s="153">
        <v>814932449</v>
      </c>
      <c r="F9" s="187">
        <f t="shared" si="0"/>
        <v>50.000000030677391</v>
      </c>
      <c r="G9" s="7"/>
    </row>
    <row r="10" spans="1:8" x14ac:dyDescent="0.35">
      <c r="A10" s="7"/>
      <c r="B10" s="180">
        <f t="shared" si="1"/>
        <v>6</v>
      </c>
      <c r="C10" s="186" t="s">
        <v>53</v>
      </c>
      <c r="D10" s="153">
        <v>205484724</v>
      </c>
      <c r="E10" s="153">
        <v>102742362</v>
      </c>
      <c r="F10" s="187">
        <f t="shared" si="0"/>
        <v>50</v>
      </c>
      <c r="G10" s="7"/>
    </row>
    <row r="11" spans="1:8" x14ac:dyDescent="0.35">
      <c r="A11" s="7"/>
      <c r="B11" s="180">
        <f t="shared" si="1"/>
        <v>7</v>
      </c>
      <c r="C11" s="7" t="s">
        <v>55</v>
      </c>
      <c r="D11" s="153">
        <v>355081015</v>
      </c>
      <c r="E11" s="153">
        <v>177540508</v>
      </c>
      <c r="F11" s="187">
        <f t="shared" si="0"/>
        <v>50.000000140812936</v>
      </c>
      <c r="G11" s="7"/>
      <c r="H11" s="50"/>
    </row>
    <row r="12" spans="1:8" x14ac:dyDescent="0.35">
      <c r="A12" s="7"/>
      <c r="B12" s="180">
        <f t="shared" si="1"/>
        <v>8</v>
      </c>
      <c r="C12" s="186" t="s">
        <v>54</v>
      </c>
      <c r="D12" s="153">
        <v>249662024</v>
      </c>
      <c r="E12" s="153">
        <v>124831012</v>
      </c>
      <c r="F12" s="187">
        <f t="shared" si="0"/>
        <v>50</v>
      </c>
      <c r="G12" s="7"/>
    </row>
    <row r="13" spans="1:8" x14ac:dyDescent="0.35">
      <c r="A13" s="7"/>
      <c r="B13" s="180">
        <f t="shared" si="1"/>
        <v>9</v>
      </c>
      <c r="C13" s="186" t="s">
        <v>56</v>
      </c>
      <c r="D13" s="153">
        <v>359353761</v>
      </c>
      <c r="E13" s="153">
        <v>179676880</v>
      </c>
      <c r="F13" s="187">
        <f t="shared" si="0"/>
        <v>49.999999860861344</v>
      </c>
      <c r="G13" s="7"/>
    </row>
    <row r="14" spans="1:8" x14ac:dyDescent="0.35">
      <c r="A14" s="7"/>
      <c r="B14" s="180">
        <f t="shared" si="1"/>
        <v>10</v>
      </c>
      <c r="C14" s="186" t="s">
        <v>57</v>
      </c>
      <c r="D14" s="153">
        <v>53580367</v>
      </c>
      <c r="E14" s="153">
        <v>26790184</v>
      </c>
      <c r="F14" s="187">
        <f t="shared" si="0"/>
        <v>50.000000933177638</v>
      </c>
      <c r="G14" s="7"/>
    </row>
    <row r="15" spans="1:8" x14ac:dyDescent="0.35">
      <c r="A15" s="7"/>
      <c r="B15" s="180">
        <f>1+B14</f>
        <v>11</v>
      </c>
      <c r="C15" s="186" t="s">
        <v>58</v>
      </c>
      <c r="D15" s="153">
        <v>411079680</v>
      </c>
      <c r="E15" s="153">
        <v>205539840</v>
      </c>
      <c r="F15" s="187">
        <f t="shared" si="0"/>
        <v>50</v>
      </c>
      <c r="G15" s="7"/>
    </row>
    <row r="16" spans="1:8" ht="15" thickBot="1" x14ac:dyDescent="0.4">
      <c r="A16" s="7"/>
      <c r="B16" s="181">
        <f t="shared" si="1"/>
        <v>12</v>
      </c>
      <c r="C16" s="189" t="s">
        <v>59</v>
      </c>
      <c r="D16" s="160">
        <v>289266794</v>
      </c>
      <c r="E16" s="160">
        <v>144633397</v>
      </c>
      <c r="F16" s="190">
        <f t="shared" si="0"/>
        <v>50</v>
      </c>
      <c r="G16" s="7"/>
    </row>
    <row r="17" spans="1:8" ht="15" thickBot="1" x14ac:dyDescent="0.4">
      <c r="A17" s="7"/>
      <c r="B17" s="182"/>
      <c r="C17" s="22" t="s">
        <v>50</v>
      </c>
      <c r="D17" s="191">
        <f>SUM(D5:D16)</f>
        <v>5277774701</v>
      </c>
      <c r="E17" s="191">
        <f>SUM(E5:E16)</f>
        <v>2638887352</v>
      </c>
      <c r="F17" s="21">
        <f t="shared" si="0"/>
        <v>50.000000028421063</v>
      </c>
      <c r="G17" s="7"/>
    </row>
    <row r="18" spans="1:8" x14ac:dyDescent="0.35">
      <c r="A18" s="7"/>
      <c r="B18" s="8"/>
      <c r="C18" s="7"/>
      <c r="D18" s="8"/>
      <c r="E18" s="8"/>
      <c r="F18" s="8"/>
      <c r="G18" s="7"/>
    </row>
    <row r="19" spans="1:8" x14ac:dyDescent="0.35">
      <c r="A19" s="7"/>
      <c r="B19" s="8"/>
      <c r="C19" s="5" t="s">
        <v>84</v>
      </c>
      <c r="D19" s="8"/>
      <c r="E19" s="8"/>
      <c r="F19" s="8"/>
      <c r="G19" s="7"/>
    </row>
    <row r="20" spans="1:8" x14ac:dyDescent="0.35">
      <c r="A20" s="7"/>
      <c r="B20" s="8"/>
      <c r="C20" s="7" t="s">
        <v>122</v>
      </c>
      <c r="D20" s="8"/>
      <c r="E20" s="8"/>
      <c r="F20" s="8"/>
      <c r="G20" s="7"/>
      <c r="H20" s="19"/>
    </row>
    <row r="21" spans="1:8" ht="15.5" x14ac:dyDescent="0.35">
      <c r="A21" s="7"/>
      <c r="B21" s="8"/>
      <c r="C21" s="195" t="s">
        <v>124</v>
      </c>
      <c r="D21" s="194" t="s">
        <v>123</v>
      </c>
      <c r="E21" s="8"/>
      <c r="F21" s="8"/>
      <c r="G21" s="7"/>
    </row>
    <row r="22" spans="1:8" x14ac:dyDescent="0.35">
      <c r="B22" s="8"/>
      <c r="C22" s="7"/>
      <c r="E22" s="8"/>
      <c r="F22" s="8"/>
      <c r="G22" s="7"/>
    </row>
  </sheetData>
  <hyperlinks>
    <hyperlink ref="C2" r:id="rId1" display="https://www.presidioeuropa.net/blog/wp-content/uploads/2024/10/Proposal-SEP-210998132.3334_pages_01.pdf" xr:uid="{35A00BD6-433A-4575-ACF4-84F6D4D1E97E}"/>
    <hyperlink ref="D21" r:id="rId2" display="https://www.presidioeuropa.net/blog/wp-content/uploads/2024/10/Proposal-SEP-210998132.3334_pages_01.pdf" xr:uid="{1B340879-64F7-4C14-A739-74284A25CE6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2CC-8C1B-45D2-A4BF-E6B13CBAF101}">
  <dimension ref="A1:R43"/>
  <sheetViews>
    <sheetView topLeftCell="A38" workbookViewId="0">
      <selection activeCell="E32" sqref="E32"/>
    </sheetView>
  </sheetViews>
  <sheetFormatPr defaultRowHeight="14.5" x14ac:dyDescent="0.35"/>
  <cols>
    <col min="1" max="1" width="3" style="7" customWidth="1"/>
    <col min="3" max="3" width="10.6328125" customWidth="1"/>
    <col min="4" max="4" width="8.81640625" bestFit="1" customWidth="1"/>
    <col min="5" max="5" width="9.26953125" bestFit="1" customWidth="1"/>
    <col min="6" max="6" width="10.6328125" bestFit="1" customWidth="1"/>
    <col min="7" max="7" width="8.81640625" bestFit="1" customWidth="1"/>
    <col min="11" max="11" width="8.81640625" bestFit="1" customWidth="1"/>
    <col min="12" max="12" width="10.26953125" bestFit="1" customWidth="1"/>
    <col min="13" max="13" width="11" customWidth="1"/>
    <col min="14" max="14" width="9.36328125" bestFit="1" customWidth="1"/>
  </cols>
  <sheetData>
    <row r="1" spans="2:18" ht="19" thickBot="1" x14ac:dyDescent="0.5">
      <c r="B1" s="7"/>
      <c r="C1" s="7"/>
      <c r="D1" s="255" t="s">
        <v>28</v>
      </c>
      <c r="E1" s="256"/>
      <c r="F1" s="256"/>
      <c r="G1" s="25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ht="16" thickBot="1" x14ac:dyDescent="0.4">
      <c r="B2" s="7"/>
      <c r="C2" s="7"/>
      <c r="D2" s="258" t="s">
        <v>29</v>
      </c>
      <c r="E2" s="259"/>
      <c r="F2" s="259"/>
      <c r="G2" s="260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x14ac:dyDescent="0.35">
      <c r="B3" s="7"/>
      <c r="C3" s="7"/>
      <c r="D3" s="242" t="s">
        <v>23</v>
      </c>
      <c r="E3" s="243" t="s">
        <v>24</v>
      </c>
      <c r="F3" s="244" t="s">
        <v>25</v>
      </c>
      <c r="G3" s="243" t="s">
        <v>26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ht="15" thickBot="1" x14ac:dyDescent="0.4">
      <c r="B4" s="7"/>
      <c r="C4" s="7"/>
      <c r="D4" s="238">
        <v>919.14</v>
      </c>
      <c r="E4" s="239">
        <v>1142.4000000000001</v>
      </c>
      <c r="F4" s="240">
        <v>544.70000000000005</v>
      </c>
      <c r="G4" s="239">
        <v>628.33000000000004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ht="15" thickBot="1" x14ac:dyDescent="0.4">
      <c r="B5" s="7"/>
      <c r="C5" s="7"/>
      <c r="D5" s="264">
        <f>+D4+E4</f>
        <v>2061.54</v>
      </c>
      <c r="E5" s="265"/>
      <c r="F5" s="264">
        <f>+F4+G4</f>
        <v>1173.0300000000002</v>
      </c>
      <c r="G5" s="265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ht="15" thickBot="1" x14ac:dyDescent="0.4">
      <c r="B6" s="7"/>
      <c r="C6" s="7"/>
      <c r="D6" s="264">
        <f>+D5+F5</f>
        <v>3234.57</v>
      </c>
      <c r="E6" s="266"/>
      <c r="F6" s="266"/>
      <c r="G6" s="265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2:18" x14ac:dyDescent="0.3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2:18" x14ac:dyDescent="0.35">
      <c r="B8" s="7"/>
      <c r="C8" s="7"/>
      <c r="D8" s="5" t="s">
        <v>27</v>
      </c>
      <c r="E8" s="5"/>
      <c r="F8" s="241">
        <v>2795.92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2:18" x14ac:dyDescent="0.3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2:18" x14ac:dyDescent="0.3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2:18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2:18" x14ac:dyDescent="0.3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2:18" x14ac:dyDescent="0.35">
      <c r="B13" s="7"/>
      <c r="C13" s="7"/>
      <c r="D13" s="7"/>
      <c r="E13" s="7"/>
      <c r="F13" s="7"/>
      <c r="G13" s="7"/>
      <c r="H13" s="7"/>
    </row>
    <row r="14" spans="2:18" x14ac:dyDescent="0.35">
      <c r="B14" s="7"/>
      <c r="C14" s="7"/>
      <c r="D14" s="7"/>
      <c r="E14" s="7"/>
      <c r="F14" s="7"/>
      <c r="G14" s="7"/>
      <c r="H14" s="7"/>
    </row>
    <row r="15" spans="2:18" x14ac:dyDescent="0.35">
      <c r="B15" s="7"/>
      <c r="C15" s="7"/>
      <c r="D15" s="7"/>
      <c r="E15" s="7"/>
      <c r="F15" s="7"/>
      <c r="G15" s="7"/>
      <c r="H15" s="7"/>
    </row>
    <row r="16" spans="2:18" x14ac:dyDescent="0.35">
      <c r="B16" s="7"/>
      <c r="C16" s="7"/>
      <c r="D16" s="7"/>
      <c r="E16" s="7"/>
      <c r="F16" s="7"/>
      <c r="G16" s="7"/>
      <c r="H16" s="7"/>
    </row>
    <row r="17" spans="2:8" x14ac:dyDescent="0.35">
      <c r="B17" s="7"/>
      <c r="C17" s="7"/>
      <c r="D17" s="7"/>
      <c r="E17" s="7"/>
      <c r="F17" s="7"/>
      <c r="G17" s="7"/>
      <c r="H17" s="7"/>
    </row>
    <row r="18" spans="2:8" x14ac:dyDescent="0.35">
      <c r="B18" s="7"/>
      <c r="C18" s="7"/>
      <c r="D18" s="7"/>
      <c r="E18" s="7"/>
      <c r="F18" s="7"/>
      <c r="G18" s="7"/>
      <c r="H18" s="7"/>
    </row>
    <row r="19" spans="2:8" x14ac:dyDescent="0.35">
      <c r="B19" s="7"/>
      <c r="C19" s="7"/>
      <c r="D19" s="7"/>
      <c r="E19" s="7"/>
      <c r="F19" s="7"/>
      <c r="G19" s="7"/>
      <c r="H19" s="7"/>
    </row>
    <row r="20" spans="2:8" x14ac:dyDescent="0.35">
      <c r="B20" s="7"/>
      <c r="C20" s="7"/>
      <c r="D20" s="178" t="s">
        <v>87</v>
      </c>
      <c r="E20" s="7"/>
      <c r="F20" s="7"/>
      <c r="G20" s="7"/>
      <c r="H20" s="7"/>
    </row>
    <row r="21" spans="2:8" x14ac:dyDescent="0.35">
      <c r="B21" s="7"/>
      <c r="C21" s="261" t="s">
        <v>121</v>
      </c>
      <c r="D21" s="262"/>
      <c r="E21" s="262"/>
      <c r="F21" s="262"/>
      <c r="G21" s="7"/>
      <c r="H21" s="7"/>
    </row>
    <row r="22" spans="2:8" x14ac:dyDescent="0.35">
      <c r="B22" s="7"/>
      <c r="C22" s="247" t="s">
        <v>35</v>
      </c>
      <c r="D22" s="263"/>
      <c r="E22" s="263"/>
      <c r="F22" s="263"/>
      <c r="G22" s="7"/>
      <c r="H22" s="7"/>
    </row>
    <row r="23" spans="2:8" ht="5.5" customHeight="1" thickBot="1" x14ac:dyDescent="0.4">
      <c r="B23" s="7"/>
      <c r="C23" s="37"/>
      <c r="D23" s="38"/>
      <c r="E23" s="38"/>
      <c r="F23" s="38"/>
      <c r="G23" s="7"/>
      <c r="H23" s="7"/>
    </row>
    <row r="24" spans="2:8" ht="15" thickBot="1" x14ac:dyDescent="0.4">
      <c r="B24" s="7"/>
      <c r="C24" s="22" t="s">
        <v>30</v>
      </c>
      <c r="D24" s="23" t="s">
        <v>32</v>
      </c>
      <c r="E24" s="23" t="s">
        <v>33</v>
      </c>
      <c r="F24" s="24" t="s">
        <v>34</v>
      </c>
      <c r="G24" s="7"/>
      <c r="H24" s="7"/>
    </row>
    <row r="25" spans="2:8" x14ac:dyDescent="0.35">
      <c r="B25" s="45" t="s">
        <v>37</v>
      </c>
      <c r="C25" s="39" t="s">
        <v>31</v>
      </c>
      <c r="D25" s="25">
        <v>87.47</v>
      </c>
      <c r="E25" s="25">
        <v>87.47</v>
      </c>
      <c r="F25" s="26">
        <f>+E25+D25</f>
        <v>174.94</v>
      </c>
      <c r="G25" s="7"/>
      <c r="H25" s="7"/>
    </row>
    <row r="26" spans="2:8" x14ac:dyDescent="0.35">
      <c r="B26" s="45" t="s">
        <v>38</v>
      </c>
      <c r="C26" s="40" t="s">
        <v>8</v>
      </c>
      <c r="D26" s="27">
        <v>108.82</v>
      </c>
      <c r="E26" s="27">
        <v>126.8</v>
      </c>
      <c r="F26" s="28">
        <f>+E26+D26</f>
        <v>235.62</v>
      </c>
      <c r="G26" s="7"/>
      <c r="H26" s="7"/>
    </row>
    <row r="27" spans="2:8" ht="15" thickBot="1" x14ac:dyDescent="0.4">
      <c r="B27" s="45" t="s">
        <v>38</v>
      </c>
      <c r="C27" s="41" t="s">
        <v>9</v>
      </c>
      <c r="D27" s="29"/>
      <c r="E27" s="29"/>
      <c r="F27" s="30">
        <v>813.78</v>
      </c>
      <c r="G27" s="7"/>
      <c r="H27" s="7"/>
    </row>
    <row r="28" spans="2:8" ht="15" thickBot="1" x14ac:dyDescent="0.4">
      <c r="B28" s="7"/>
      <c r="C28" s="42"/>
      <c r="D28" s="35"/>
      <c r="E28" s="35"/>
      <c r="F28" s="36">
        <f>SUM(F25:F27)</f>
        <v>1224.3399999999999</v>
      </c>
      <c r="G28" s="7"/>
      <c r="H28" s="7"/>
    </row>
    <row r="29" spans="2:8" ht="15" thickBot="1" x14ac:dyDescent="0.4">
      <c r="B29" s="7"/>
      <c r="C29" s="43" t="s">
        <v>10</v>
      </c>
      <c r="D29" s="32"/>
      <c r="E29" s="32"/>
      <c r="F29" s="33">
        <v>40.5</v>
      </c>
      <c r="G29" s="44"/>
      <c r="H29" s="7"/>
    </row>
    <row r="30" spans="2:8" ht="15" thickBot="1" x14ac:dyDescent="0.4">
      <c r="B30" s="7"/>
      <c r="C30" s="7"/>
      <c r="D30" s="31"/>
      <c r="E30" s="31"/>
      <c r="F30" s="34">
        <f>+F29+F28</f>
        <v>1264.8399999999999</v>
      </c>
      <c r="G30" s="7"/>
      <c r="H30" s="7"/>
    </row>
    <row r="31" spans="2:8" x14ac:dyDescent="0.35">
      <c r="B31" s="7"/>
      <c r="C31" s="7"/>
      <c r="D31" s="7"/>
      <c r="E31" s="7"/>
      <c r="F31" s="7"/>
      <c r="G31" s="7"/>
      <c r="H31" s="7"/>
    </row>
    <row r="32" spans="2:8" x14ac:dyDescent="0.35">
      <c r="B32" s="7"/>
      <c r="C32" s="7"/>
      <c r="D32" s="7"/>
      <c r="E32" s="7"/>
      <c r="F32" s="7"/>
      <c r="G32" s="7"/>
      <c r="H32" s="7"/>
    </row>
    <row r="33" spans="2:18" x14ac:dyDescent="0.3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2:18" ht="15" thickBot="1" x14ac:dyDescent="0.4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2:18" x14ac:dyDescent="0.35">
      <c r="B35" s="7"/>
      <c r="C35" s="7"/>
      <c r="D35" s="7"/>
      <c r="E35" s="7"/>
      <c r="F35" s="7"/>
      <c r="G35" s="7"/>
      <c r="H35" s="7"/>
      <c r="I35" s="7"/>
      <c r="J35" s="7"/>
      <c r="K35" s="156" t="s">
        <v>148</v>
      </c>
      <c r="L35" s="222"/>
      <c r="M35" s="222"/>
      <c r="N35" s="163"/>
      <c r="O35" s="7"/>
      <c r="P35" s="7"/>
      <c r="Q35" s="7"/>
      <c r="R35" s="7"/>
    </row>
    <row r="36" spans="2:18" ht="15" thickBot="1" x14ac:dyDescent="0.4">
      <c r="J36" s="7"/>
      <c r="K36" s="223" t="s">
        <v>47</v>
      </c>
      <c r="L36" s="225" t="s">
        <v>149</v>
      </c>
      <c r="M36" s="8"/>
      <c r="N36" s="224" t="s">
        <v>47</v>
      </c>
      <c r="O36" s="7"/>
      <c r="P36" s="7"/>
      <c r="Q36" s="7"/>
      <c r="R36" s="7"/>
    </row>
    <row r="37" spans="2:18" x14ac:dyDescent="0.35">
      <c r="J37" s="7"/>
      <c r="K37" s="213">
        <f>+L37/M37*100</f>
        <v>44.585115981256727</v>
      </c>
      <c r="L37" s="214">
        <v>919.14</v>
      </c>
      <c r="M37" s="214">
        <f>+L37+L38</f>
        <v>2061.54</v>
      </c>
      <c r="N37" s="215">
        <f>+M37/L41*100</f>
        <v>63.734592233279855</v>
      </c>
      <c r="O37" s="7"/>
      <c r="P37" s="7"/>
      <c r="Q37" s="7"/>
      <c r="R37" s="7"/>
    </row>
    <row r="38" spans="2:18" x14ac:dyDescent="0.35">
      <c r="J38" s="7"/>
      <c r="K38" s="216">
        <f>+L38/M37*100</f>
        <v>55.414884018743273</v>
      </c>
      <c r="L38" s="217">
        <v>1142.4000000000001</v>
      </c>
      <c r="M38" s="217"/>
      <c r="N38" s="218"/>
      <c r="O38" s="7"/>
      <c r="P38" s="7"/>
      <c r="Q38" s="7"/>
      <c r="R38" s="7"/>
    </row>
    <row r="39" spans="2:18" x14ac:dyDescent="0.35">
      <c r="J39" s="7"/>
      <c r="K39" s="216"/>
      <c r="L39" s="217">
        <v>544.70000000000005</v>
      </c>
      <c r="M39" s="217">
        <f>+L39+L40</f>
        <v>1173.0300000000002</v>
      </c>
      <c r="N39" s="218">
        <f>+M39/L41*100</f>
        <v>36.265407766720159</v>
      </c>
      <c r="O39" s="7"/>
      <c r="P39" s="7"/>
      <c r="Q39" s="7"/>
      <c r="R39" s="7"/>
    </row>
    <row r="40" spans="2:18" ht="15" thickBot="1" x14ac:dyDescent="0.4">
      <c r="J40" s="7"/>
      <c r="K40" s="216"/>
      <c r="L40" s="217">
        <v>628.33000000000004</v>
      </c>
      <c r="M40" s="217"/>
      <c r="N40" s="218"/>
      <c r="O40" s="7"/>
      <c r="P40" s="7"/>
      <c r="Q40" s="7"/>
      <c r="R40" s="7"/>
    </row>
    <row r="41" spans="2:18" ht="15" thickBot="1" x14ac:dyDescent="0.4">
      <c r="J41" s="7"/>
      <c r="K41" s="219">
        <f>+K38+K37</f>
        <v>100</v>
      </c>
      <c r="L41" s="220">
        <f>SUM(L37:L40)</f>
        <v>3234.5699999999997</v>
      </c>
      <c r="M41" s="220">
        <f>+M39+M37</f>
        <v>3234.57</v>
      </c>
      <c r="N41" s="221">
        <f>+N39+N37</f>
        <v>100.00000000000001</v>
      </c>
      <c r="O41" s="7"/>
      <c r="P41" s="7"/>
      <c r="Q41" s="7"/>
      <c r="R41" s="7"/>
    </row>
    <row r="42" spans="2:18" x14ac:dyDescent="0.35">
      <c r="J42" s="7"/>
      <c r="K42" s="7"/>
      <c r="L42" s="7"/>
      <c r="M42" s="7"/>
      <c r="N42" s="7"/>
      <c r="O42" s="7"/>
      <c r="P42" s="7"/>
      <c r="Q42" s="7"/>
      <c r="R42" s="7"/>
    </row>
    <row r="43" spans="2:18" x14ac:dyDescent="0.35">
      <c r="K43" s="7"/>
      <c r="L43" s="7"/>
      <c r="M43" s="7"/>
      <c r="N43" s="7"/>
      <c r="O43" s="7"/>
      <c r="P43" s="7"/>
      <c r="Q43" s="7"/>
      <c r="R43" s="7"/>
    </row>
  </sheetData>
  <mergeCells count="7">
    <mergeCell ref="D1:G1"/>
    <mergeCell ref="D2:G2"/>
    <mergeCell ref="C21:F21"/>
    <mergeCell ref="C22:F22"/>
    <mergeCell ref="D5:E5"/>
    <mergeCell ref="F5:G5"/>
    <mergeCell ref="D6:G6"/>
  </mergeCells>
  <hyperlinks>
    <hyperlink ref="D20" r:id="rId1" display="https://www.presidioeuropa.net/blog/wp-content/uploads/2023/01/TELT-Copie-intégrale-des-comptes-annuels-au-2023-12-31-TUNNEL-EURALPIN-LYON-TURIN1.pdf" xr:uid="{F8A1890D-B653-414B-BF20-EE47CD97B189}"/>
  </hyperlinks>
  <pageMargins left="0.7" right="0.7" top="0.75" bottom="0.75" header="0.3" footer="0.3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A99F-7188-4CAA-AE71-0C0A0ADCF3E4}">
  <dimension ref="A1:M28"/>
  <sheetViews>
    <sheetView tabSelected="1" topLeftCell="A13" workbookViewId="0">
      <selection activeCell="D23" sqref="D23"/>
    </sheetView>
  </sheetViews>
  <sheetFormatPr defaultRowHeight="14.5" x14ac:dyDescent="0.35"/>
  <cols>
    <col min="1" max="1" width="8.453125" style="14" customWidth="1"/>
    <col min="2" max="2" width="7.453125" style="14" customWidth="1"/>
    <col min="3" max="3" width="12.36328125" style="1" customWidth="1"/>
    <col min="4" max="4" width="14.7265625" style="1" customWidth="1"/>
    <col min="5" max="5" width="15.90625" style="136" customWidth="1"/>
    <col min="6" max="6" width="6.36328125" style="14" customWidth="1"/>
    <col min="7" max="7" width="1.7265625" customWidth="1"/>
    <col min="8" max="8" width="35.36328125" customWidth="1"/>
    <col min="9" max="9" width="14.1796875" customWidth="1"/>
    <col min="10" max="10" width="5.7265625" customWidth="1"/>
    <col min="11" max="11" width="16" bestFit="1" customWidth="1"/>
    <col min="13" max="13" width="9.81640625" bestFit="1" customWidth="1"/>
  </cols>
  <sheetData>
    <row r="1" spans="1:11" ht="26" x14ac:dyDescent="0.6">
      <c r="A1" s="138" t="s">
        <v>119</v>
      </c>
      <c r="B1" s="17"/>
      <c r="C1" s="8"/>
      <c r="D1" s="8"/>
      <c r="E1" s="137"/>
      <c r="F1" s="17"/>
      <c r="G1" s="7"/>
      <c r="H1" s="177">
        <f>+I26</f>
        <v>2795922773</v>
      </c>
      <c r="I1" s="7"/>
      <c r="J1" s="7"/>
      <c r="K1" s="7"/>
    </row>
    <row r="2" spans="1:11" ht="15" thickBot="1" x14ac:dyDescent="0.4">
      <c r="A2" s="17"/>
      <c r="B2" s="17"/>
      <c r="C2" s="8"/>
      <c r="D2" s="8"/>
      <c r="E2" s="137"/>
      <c r="F2" s="17"/>
      <c r="G2" s="7"/>
      <c r="I2" s="7"/>
      <c r="J2" s="7"/>
      <c r="K2" s="7"/>
    </row>
    <row r="3" spans="1:11" ht="29.5" thickBot="1" x14ac:dyDescent="0.4">
      <c r="A3" s="139" t="s">
        <v>86</v>
      </c>
      <c r="B3" s="140" t="s">
        <v>85</v>
      </c>
      <c r="C3" s="140" t="s">
        <v>99</v>
      </c>
      <c r="D3" s="140" t="s">
        <v>108</v>
      </c>
      <c r="E3" s="141" t="s">
        <v>120</v>
      </c>
      <c r="F3" s="142" t="s">
        <v>100</v>
      </c>
      <c r="G3" s="7"/>
      <c r="H3" s="7"/>
      <c r="I3" s="7"/>
      <c r="J3" s="7"/>
      <c r="K3" s="7"/>
    </row>
    <row r="4" spans="1:11" ht="7" customHeight="1" thickBot="1" x14ac:dyDescent="0.4">
      <c r="A4" s="143"/>
      <c r="B4" s="144"/>
      <c r="C4" s="144"/>
      <c r="D4" s="144"/>
      <c r="E4" s="145"/>
      <c r="F4" s="146"/>
      <c r="G4" s="7"/>
      <c r="H4" s="7"/>
      <c r="I4" s="7"/>
      <c r="J4" s="7"/>
    </row>
    <row r="5" spans="1:11" x14ac:dyDescent="0.35">
      <c r="A5" s="147" t="s">
        <v>37</v>
      </c>
      <c r="B5" s="148">
        <v>2002</v>
      </c>
      <c r="C5" s="167" t="s">
        <v>98</v>
      </c>
      <c r="D5" s="149" t="s">
        <v>98</v>
      </c>
      <c r="E5" s="149" t="s">
        <v>98</v>
      </c>
      <c r="F5" s="150">
        <v>1</v>
      </c>
      <c r="G5" s="7"/>
      <c r="H5" s="151" t="s">
        <v>37</v>
      </c>
      <c r="I5" s="163"/>
      <c r="J5" s="166"/>
      <c r="K5" s="7"/>
    </row>
    <row r="6" spans="1:11" x14ac:dyDescent="0.35">
      <c r="A6" s="147" t="s">
        <v>101</v>
      </c>
      <c r="B6" s="148">
        <v>2003</v>
      </c>
      <c r="C6" s="167" t="s">
        <v>98</v>
      </c>
      <c r="D6" s="149" t="s">
        <v>98</v>
      </c>
      <c r="E6" s="149" t="s">
        <v>98</v>
      </c>
      <c r="F6" s="150">
        <v>2</v>
      </c>
      <c r="G6" s="7"/>
      <c r="H6" s="152" t="s">
        <v>103</v>
      </c>
      <c r="I6" s="164"/>
      <c r="J6" s="166"/>
      <c r="K6" s="7"/>
    </row>
    <row r="7" spans="1:11" x14ac:dyDescent="0.35">
      <c r="A7" s="147" t="s">
        <v>101</v>
      </c>
      <c r="B7" s="148">
        <v>2004</v>
      </c>
      <c r="C7" s="167" t="s">
        <v>98</v>
      </c>
      <c r="D7" s="149" t="s">
        <v>98</v>
      </c>
      <c r="E7" s="149" t="s">
        <v>98</v>
      </c>
      <c r="F7" s="150">
        <v>3</v>
      </c>
      <c r="G7" s="7"/>
      <c r="H7" s="152" t="s">
        <v>104</v>
      </c>
      <c r="I7" s="164"/>
      <c r="J7" s="166"/>
      <c r="K7" s="7"/>
    </row>
    <row r="8" spans="1:11" x14ac:dyDescent="0.35">
      <c r="A8" s="147" t="s">
        <v>101</v>
      </c>
      <c r="B8" s="148">
        <v>2005</v>
      </c>
      <c r="C8" s="167" t="s">
        <v>98</v>
      </c>
      <c r="D8" s="149" t="s">
        <v>98</v>
      </c>
      <c r="E8" s="149" t="s">
        <v>98</v>
      </c>
      <c r="F8" s="150">
        <v>4</v>
      </c>
      <c r="G8" s="7"/>
      <c r="H8" s="152" t="s">
        <v>105</v>
      </c>
      <c r="I8" s="164"/>
      <c r="J8" s="166"/>
      <c r="K8" s="7"/>
    </row>
    <row r="9" spans="1:11" ht="15" thickBot="1" x14ac:dyDescent="0.4">
      <c r="A9" s="147" t="s">
        <v>101</v>
      </c>
      <c r="B9" s="148">
        <v>2006</v>
      </c>
      <c r="C9" s="167" t="s">
        <v>98</v>
      </c>
      <c r="D9" s="149" t="s">
        <v>98</v>
      </c>
      <c r="E9" s="149" t="s">
        <v>98</v>
      </c>
      <c r="F9" s="150">
        <v>5</v>
      </c>
      <c r="G9" s="7"/>
      <c r="H9" s="154" t="s">
        <v>106</v>
      </c>
      <c r="I9" s="165"/>
      <c r="J9" s="166"/>
      <c r="K9" s="7"/>
    </row>
    <row r="10" spans="1:11" x14ac:dyDescent="0.35">
      <c r="A10" s="147" t="s">
        <v>101</v>
      </c>
      <c r="B10" s="148">
        <v>2007</v>
      </c>
      <c r="C10" s="167" t="s">
        <v>98</v>
      </c>
      <c r="D10" s="149" t="s">
        <v>98</v>
      </c>
      <c r="E10" s="153">
        <v>406326708</v>
      </c>
      <c r="F10" s="150">
        <v>6</v>
      </c>
      <c r="G10" s="7"/>
      <c r="H10" s="7"/>
      <c r="I10" s="7"/>
      <c r="J10" s="7"/>
      <c r="K10" s="7"/>
    </row>
    <row r="11" spans="1:11" x14ac:dyDescent="0.35">
      <c r="A11" s="147" t="s">
        <v>101</v>
      </c>
      <c r="B11" s="148">
        <v>2008</v>
      </c>
      <c r="C11" s="168" t="s">
        <v>97</v>
      </c>
      <c r="D11" s="153">
        <f>+E11-E10</f>
        <v>89547272</v>
      </c>
      <c r="E11" s="153">
        <v>495873980</v>
      </c>
      <c r="F11" s="150">
        <v>7</v>
      </c>
      <c r="G11" s="7"/>
      <c r="H11" s="7"/>
      <c r="I11" s="7"/>
      <c r="J11" s="7"/>
      <c r="K11" s="7"/>
    </row>
    <row r="12" spans="1:11" x14ac:dyDescent="0.35">
      <c r="A12" s="147" t="s">
        <v>101</v>
      </c>
      <c r="B12" s="148">
        <v>2009</v>
      </c>
      <c r="C12" s="168" t="s">
        <v>96</v>
      </c>
      <c r="D12" s="153">
        <f>+E12-E11</f>
        <v>25714689</v>
      </c>
      <c r="E12" s="153">
        <v>521588669</v>
      </c>
      <c r="F12" s="150">
        <f>1+F11</f>
        <v>8</v>
      </c>
      <c r="G12" s="7"/>
      <c r="H12" s="7"/>
      <c r="I12" s="7"/>
      <c r="J12" s="7"/>
      <c r="K12" s="7"/>
    </row>
    <row r="13" spans="1:11" x14ac:dyDescent="0.35">
      <c r="A13" s="147" t="s">
        <v>101</v>
      </c>
      <c r="B13" s="148">
        <v>2010</v>
      </c>
      <c r="C13" s="169" t="s">
        <v>98</v>
      </c>
      <c r="D13" s="153">
        <f t="shared" ref="D13:D26" si="0">+E13-E12</f>
        <v>32105488</v>
      </c>
      <c r="E13" s="153">
        <v>553694157</v>
      </c>
      <c r="F13" s="150">
        <f t="shared" ref="F13:F26" si="1">1+F12</f>
        <v>9</v>
      </c>
      <c r="G13" s="7"/>
      <c r="H13" s="7"/>
      <c r="I13" s="7"/>
      <c r="J13" s="7"/>
      <c r="K13" s="7"/>
    </row>
    <row r="14" spans="1:11" x14ac:dyDescent="0.35">
      <c r="A14" s="147" t="s">
        <v>101</v>
      </c>
      <c r="B14" s="148">
        <v>2011</v>
      </c>
      <c r="C14" s="168" t="s">
        <v>95</v>
      </c>
      <c r="D14" s="153">
        <f t="shared" si="0"/>
        <v>20402773</v>
      </c>
      <c r="E14" s="153">
        <v>574096930</v>
      </c>
      <c r="F14" s="150">
        <f t="shared" si="1"/>
        <v>10</v>
      </c>
      <c r="G14" s="7"/>
      <c r="H14" s="7"/>
      <c r="I14" s="7"/>
      <c r="J14" s="7"/>
      <c r="K14" s="7"/>
    </row>
    <row r="15" spans="1:11" x14ac:dyDescent="0.35">
      <c r="A15" s="147" t="s">
        <v>101</v>
      </c>
      <c r="B15" s="148">
        <v>2012</v>
      </c>
      <c r="C15" s="167" t="s">
        <v>98</v>
      </c>
      <c r="D15" s="153" t="s">
        <v>98</v>
      </c>
      <c r="E15" s="153" t="s">
        <v>98</v>
      </c>
      <c r="F15" s="150">
        <f t="shared" si="1"/>
        <v>11</v>
      </c>
      <c r="G15" s="7"/>
      <c r="H15" s="7"/>
      <c r="I15" s="7"/>
      <c r="J15" s="7"/>
      <c r="K15" s="7"/>
    </row>
    <row r="16" spans="1:11" x14ac:dyDescent="0.35">
      <c r="A16" s="147" t="s">
        <v>101</v>
      </c>
      <c r="B16" s="148">
        <v>2013</v>
      </c>
      <c r="C16" s="167" t="s">
        <v>98</v>
      </c>
      <c r="D16" s="153">
        <f>+E16-E14</f>
        <v>120401219</v>
      </c>
      <c r="E16" s="153">
        <v>694498149</v>
      </c>
      <c r="F16" s="150">
        <f t="shared" si="1"/>
        <v>12</v>
      </c>
      <c r="G16" s="7"/>
      <c r="H16" s="7"/>
      <c r="I16" s="7"/>
      <c r="J16" s="7"/>
      <c r="K16" s="7"/>
    </row>
    <row r="17" spans="1:13" x14ac:dyDescent="0.35">
      <c r="A17" s="147" t="s">
        <v>101</v>
      </c>
      <c r="B17" s="148">
        <v>2014</v>
      </c>
      <c r="C17" s="168" t="s">
        <v>94</v>
      </c>
      <c r="D17" s="153">
        <f t="shared" si="0"/>
        <v>43653501</v>
      </c>
      <c r="E17" s="153">
        <v>738151650</v>
      </c>
      <c r="F17" s="150">
        <f t="shared" si="1"/>
        <v>13</v>
      </c>
      <c r="G17" s="7"/>
      <c r="H17" s="7"/>
      <c r="I17" s="7"/>
      <c r="J17" s="7"/>
      <c r="K17" s="7"/>
    </row>
    <row r="18" spans="1:13" x14ac:dyDescent="0.35">
      <c r="A18" s="147" t="s">
        <v>38</v>
      </c>
      <c r="B18" s="148">
        <v>2015</v>
      </c>
      <c r="C18" s="168" t="s">
        <v>93</v>
      </c>
      <c r="D18" s="153">
        <f t="shared" si="0"/>
        <v>88726182</v>
      </c>
      <c r="E18" s="245">
        <v>826877832</v>
      </c>
      <c r="F18" s="150">
        <f t="shared" si="1"/>
        <v>14</v>
      </c>
      <c r="G18" s="7"/>
      <c r="H18" s="7"/>
      <c r="I18" s="7"/>
      <c r="J18" s="7"/>
      <c r="K18" s="7"/>
    </row>
    <row r="19" spans="1:13" ht="15" thickBot="1" x14ac:dyDescent="0.4">
      <c r="A19" s="147" t="s">
        <v>101</v>
      </c>
      <c r="B19" s="148">
        <v>2016</v>
      </c>
      <c r="C19" s="168" t="s">
        <v>92</v>
      </c>
      <c r="D19" s="153">
        <f t="shared" si="0"/>
        <v>159485981</v>
      </c>
      <c r="E19" s="245">
        <v>986363813</v>
      </c>
      <c r="F19" s="150">
        <f t="shared" si="1"/>
        <v>15</v>
      </c>
      <c r="G19" s="7"/>
      <c r="H19" s="155" t="s">
        <v>118</v>
      </c>
      <c r="I19" s="7"/>
      <c r="J19" s="7"/>
      <c r="K19" s="7"/>
    </row>
    <row r="20" spans="1:13" x14ac:dyDescent="0.35">
      <c r="A20" s="147" t="s">
        <v>101</v>
      </c>
      <c r="B20" s="148">
        <v>2017</v>
      </c>
      <c r="C20" s="168" t="s">
        <v>91</v>
      </c>
      <c r="D20" s="153">
        <f t="shared" si="0"/>
        <v>118276632</v>
      </c>
      <c r="E20" s="245">
        <v>1104640445</v>
      </c>
      <c r="F20" s="150">
        <f t="shared" si="1"/>
        <v>16</v>
      </c>
      <c r="G20" s="7"/>
      <c r="H20" s="156" t="s">
        <v>109</v>
      </c>
      <c r="I20" s="157">
        <v>1285397991</v>
      </c>
      <c r="J20" s="172">
        <f t="shared" ref="J20:J25" si="2">+I20/$I$26</f>
        <v>0.45974016285892599</v>
      </c>
      <c r="K20" s="7"/>
      <c r="M20">
        <v>826900000</v>
      </c>
    </row>
    <row r="21" spans="1:13" x14ac:dyDescent="0.35">
      <c r="A21" s="147" t="s">
        <v>101</v>
      </c>
      <c r="B21" s="148">
        <v>2018</v>
      </c>
      <c r="C21" s="168" t="s">
        <v>90</v>
      </c>
      <c r="D21" s="153">
        <f t="shared" si="0"/>
        <v>179839976</v>
      </c>
      <c r="E21" s="245">
        <v>1284480421</v>
      </c>
      <c r="F21" s="150">
        <f t="shared" si="1"/>
        <v>17</v>
      </c>
      <c r="G21" s="7"/>
      <c r="H21" s="152" t="s">
        <v>110</v>
      </c>
      <c r="I21" s="126">
        <v>1134707002</v>
      </c>
      <c r="J21" s="173">
        <f t="shared" si="2"/>
        <v>0.40584347069875237</v>
      </c>
      <c r="K21" s="7"/>
    </row>
    <row r="22" spans="1:13" x14ac:dyDescent="0.35">
      <c r="A22" s="147" t="s">
        <v>101</v>
      </c>
      <c r="B22" s="148">
        <v>2019</v>
      </c>
      <c r="C22" s="168" t="s">
        <v>89</v>
      </c>
      <c r="D22" s="153">
        <f t="shared" si="0"/>
        <v>207124038</v>
      </c>
      <c r="E22" s="245">
        <v>1491604459</v>
      </c>
      <c r="F22" s="150">
        <f t="shared" si="1"/>
        <v>18</v>
      </c>
      <c r="G22" s="7"/>
      <c r="H22" s="152" t="s">
        <v>111</v>
      </c>
      <c r="I22" s="126">
        <v>25252136</v>
      </c>
      <c r="J22" s="173">
        <f t="shared" si="2"/>
        <v>9.0317716368484256E-3</v>
      </c>
      <c r="K22" s="7"/>
    </row>
    <row r="23" spans="1:13" x14ac:dyDescent="0.35">
      <c r="A23" s="147" t="s">
        <v>101</v>
      </c>
      <c r="B23" s="148">
        <v>2020</v>
      </c>
      <c r="C23" s="267" t="s">
        <v>150</v>
      </c>
      <c r="D23" s="153">
        <f t="shared" si="0"/>
        <v>169455714</v>
      </c>
      <c r="E23" s="245">
        <v>1661060173</v>
      </c>
      <c r="F23" s="150">
        <f t="shared" si="1"/>
        <v>19</v>
      </c>
      <c r="G23" s="7"/>
      <c r="H23" s="152" t="s">
        <v>112</v>
      </c>
      <c r="I23" s="126">
        <v>318097449</v>
      </c>
      <c r="J23" s="173">
        <f t="shared" si="2"/>
        <v>0.11377190102381987</v>
      </c>
      <c r="K23" s="44"/>
    </row>
    <row r="24" spans="1:13" x14ac:dyDescent="0.35">
      <c r="A24" s="147" t="s">
        <v>101</v>
      </c>
      <c r="B24" s="148">
        <v>2021</v>
      </c>
      <c r="C24" s="168" t="s">
        <v>88</v>
      </c>
      <c r="D24" s="153">
        <f t="shared" si="0"/>
        <v>274789195</v>
      </c>
      <c r="E24" s="245">
        <v>1935849368</v>
      </c>
      <c r="F24" s="150">
        <f t="shared" si="1"/>
        <v>20</v>
      </c>
      <c r="G24" s="7"/>
      <c r="H24" s="152" t="s">
        <v>113</v>
      </c>
      <c r="I24" s="126">
        <v>31251342</v>
      </c>
      <c r="J24" s="173">
        <f t="shared" si="2"/>
        <v>1.1177469671834889E-2</v>
      </c>
      <c r="K24" s="7"/>
    </row>
    <row r="25" spans="1:13" ht="15" thickBot="1" x14ac:dyDescent="0.4">
      <c r="A25" s="147" t="s">
        <v>101</v>
      </c>
      <c r="B25" s="148">
        <v>2022</v>
      </c>
      <c r="C25" s="170" t="s">
        <v>102</v>
      </c>
      <c r="D25" s="153">
        <f t="shared" si="0"/>
        <v>402073833</v>
      </c>
      <c r="E25" s="245">
        <v>2337923201</v>
      </c>
      <c r="F25" s="150">
        <f t="shared" si="1"/>
        <v>21</v>
      </c>
      <c r="G25" s="7"/>
      <c r="H25" s="152" t="s">
        <v>116</v>
      </c>
      <c r="I25" s="126">
        <v>1216853</v>
      </c>
      <c r="J25" s="173">
        <f t="shared" si="2"/>
        <v>4.3522410981842953E-4</v>
      </c>
      <c r="K25" s="7"/>
    </row>
    <row r="26" spans="1:13" ht="15" thickBot="1" x14ac:dyDescent="0.4">
      <c r="A26" s="158" t="s">
        <v>101</v>
      </c>
      <c r="B26" s="159">
        <v>2023</v>
      </c>
      <c r="C26" s="171" t="s">
        <v>87</v>
      </c>
      <c r="D26" s="153">
        <f t="shared" si="0"/>
        <v>457999572</v>
      </c>
      <c r="E26" s="246">
        <v>2795922773</v>
      </c>
      <c r="F26" s="161">
        <f t="shared" si="1"/>
        <v>22</v>
      </c>
      <c r="G26" s="7"/>
      <c r="H26" s="91" t="s">
        <v>117</v>
      </c>
      <c r="I26" s="162">
        <f>SUM(I20:I25)</f>
        <v>2795922773</v>
      </c>
      <c r="J26" s="174">
        <f>SUM(J20:J25)</f>
        <v>0.99999999999999989</v>
      </c>
      <c r="K26" s="7"/>
    </row>
    <row r="27" spans="1:13" ht="15" thickBot="1" x14ac:dyDescent="0.4">
      <c r="A27" s="17"/>
      <c r="B27" s="17"/>
      <c r="C27" s="8"/>
      <c r="D27" s="109">
        <f>E10+D26+D25+D24+D23+D22+D21+D20+D19+D18+D17+D16+D14+D13+D12+D11</f>
        <v>2795922773</v>
      </c>
      <c r="E27" s="137"/>
      <c r="F27" s="17"/>
      <c r="G27" s="7"/>
      <c r="H27" s="7"/>
      <c r="I27" s="7"/>
      <c r="J27" s="7"/>
      <c r="K27" s="7"/>
    </row>
    <row r="28" spans="1:13" x14ac:dyDescent="0.35">
      <c r="A28" s="17"/>
      <c r="B28" s="17"/>
      <c r="C28" s="8"/>
      <c r="D28" s="8"/>
      <c r="E28" s="137"/>
      <c r="F28" s="17"/>
      <c r="G28" s="7"/>
      <c r="H28" s="7"/>
      <c r="I28" s="7"/>
      <c r="J28" s="7"/>
      <c r="K28" s="7"/>
    </row>
  </sheetData>
  <hyperlinks>
    <hyperlink ref="C26" r:id="rId1" display="https://www.presidioeuropa.net/blog/wp-content/uploads/2023/01/TELT-Copie-intégrale-des-comptes-annuels-au-2023-12-31-TUNNEL-EURALPIN-LYON-TURIN1.pdf" xr:uid="{ABEAAF18-17AE-47DF-8D31-588B6B125C43}"/>
    <hyperlink ref="C24" r:id="rId2" display="https://www.presidioeuropa.net/blog/wp-content/uploads/2023/01/COMPTES-TELT-2021.pdf" xr:uid="{2FA7DC70-9510-418B-91A8-5B97D01F39FB}"/>
    <hyperlink ref="C22" r:id="rId3" display="https://www.presidioeuropa.net/blog/wp-content/uploads/2023/01/COMPTES-TELT-2019.pdf" xr:uid="{5AF1DD26-97A5-4725-93AE-87AF72504388}"/>
    <hyperlink ref="C21" r:id="rId4" display="https://www.presidioeuropa.net/blog/wp-content/uploads/2023/01/COMPTES-2018.pdf" xr:uid="{33BD5FD3-2021-45D7-8F2D-7B7982B4D7C7}"/>
    <hyperlink ref="C20" r:id="rId5" display="https://www.presidioeuropa.net/blog/wp-content/uploads/2023/01/COMPTES-TELT_2017-12-31.pdf" xr:uid="{FFF39B22-08E8-4298-AE24-EDE5FB760706}"/>
    <hyperlink ref="C19" r:id="rId6" display="https://www.presidioeuropa.net/blog/wp-content/uploads/2023/01/COMPTES-TELT-2016.pdf" xr:uid="{11A55F4B-BCE8-4D8D-A218-EE7DCDA7A562}"/>
    <hyperlink ref="C18" r:id="rId7" display="https://www.presidioeuropa.net/blog/wp-content/uploads/2023/01/COMPTES-TELT-2015.pdf" xr:uid="{8CDE5F25-0BB0-47E0-ACB8-A6B269CCD126}"/>
    <hyperlink ref="C17" r:id="rId8" display="https://www.presidioeuropa.net/blog/wp-content/uploads/2023/01/COMPTES-LTF-2014.pdf" xr:uid="{D874CD60-AC5D-4E2B-A492-1E637B1C194E}"/>
    <hyperlink ref="C14" r:id="rId9" display="https://www.presidioeuropa.net/blog/wp-content/uploads/2023/01/LTF-Bilan-31.12.2011.pdf" xr:uid="{72F6868B-F445-4069-91CD-A0C3E8C28E34}"/>
    <hyperlink ref="C12" r:id="rId10" display="https://www.presidioeuropa.net/blog/wp-content/uploads/2023/01/LTF-Bilan-31.12.2009.pdf" xr:uid="{F8D502CE-31BF-441E-AB79-483FDEA53542}"/>
    <hyperlink ref="C11" r:id="rId11" display="https://www.presidioeuropa.net/blog/wp-content/uploads/2023/01/LTF-Bilan-31.12.2008.pdf" xr:uid="{D31E9C68-EE7C-4966-A621-0418443C9D15}"/>
    <hyperlink ref="C25" r:id="rId12" display="https://www.presidioeuropa.net/blog/wp-content/uploads/2023/01/COMPTES-2022.pdf" xr:uid="{F67A5EF1-E7D9-4423-B0EC-806A106B0478}"/>
    <hyperlink ref="C23" r:id="rId13" display="https://www.presidioeuropa.net/blog/wp-content/uploads/2023/01/COMPTES-TELT-2020-bilan-financier-entreprise-439556952-2020-12-31-C.pdf" xr:uid="{D1EF0A58-CDDB-45ED-A451-9BAED6E2182B}"/>
  </hyperlinks>
  <pageMargins left="0.7" right="0.7" top="0.75" bottom="0.75" header="0.3" footer="0.3"/>
  <drawing r:id="rId14"/>
  <legacy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ANALISI</vt:lpstr>
      <vt:lpstr>Domanda 2023 Grant A.</vt:lpstr>
      <vt:lpstr>Sovvenzioni UE</vt:lpstr>
      <vt:lpstr>Immobilizzazioni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click@mayombe.eu</dc:creator>
  <cp:lastModifiedBy>click@mayombe.eu</cp:lastModifiedBy>
  <dcterms:created xsi:type="dcterms:W3CDTF">2024-09-27T18:43:58Z</dcterms:created>
  <dcterms:modified xsi:type="dcterms:W3CDTF">2024-10-25T13:07:43Z</dcterms:modified>
</cp:coreProperties>
</file>